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34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5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3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139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46.xml" ContentType="application/vnd.openxmlformats-officedocument.spreadsheetml.externalLink+xml"/>
  <Default Extension="bin" ContentType="application/vnd.openxmlformats-officedocument.spreadsheetml.printerSettings"/>
  <Override PartName="/xl/externalLinks/externalLink39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42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2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3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49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58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50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11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2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30" windowWidth="15195" windowHeight="9210"/>
  </bookViews>
  <sheets>
    <sheet name="01ASS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</externalReferences>
  <definedNames>
    <definedName name="_Key1" hidden="1">'01ASSET'!$C$110:$C$110</definedName>
    <definedName name="_Key2" hidden="1">'01ASSET'!$B$110:$B$110</definedName>
    <definedName name="_Order1" hidden="1">0</definedName>
    <definedName name="_Order2" hidden="1">0</definedName>
    <definedName name="_Sort" hidden="1">'01ASSET'!$A$110:$E$110</definedName>
    <definedName name="_xlnm.Database">'01ASSET'!$A$1</definedName>
    <definedName name="_xlnm.Print_Area" localSheetId="0">'01ASSET'!$A$1:$E$167</definedName>
    <definedName name="Print_Area_MI" localSheetId="0">'01ASSET'!$A$1</definedName>
    <definedName name="SOD">'01ASSET'!$D$29:$D$30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8"/>
  <c r="D41"/>
  <c r="C41"/>
  <c r="E41"/>
  <c r="D164"/>
  <c r="C164"/>
  <c r="D163"/>
  <c r="C163"/>
  <c r="D162"/>
  <c r="C162"/>
  <c r="D156"/>
  <c r="C156"/>
  <c r="D154"/>
  <c r="C154"/>
  <c r="D161"/>
  <c r="C161"/>
  <c r="D160"/>
  <c r="C160"/>
  <c r="D159"/>
  <c r="C159"/>
  <c r="D158"/>
  <c r="C158"/>
  <c r="D157"/>
  <c r="C157"/>
  <c r="D155"/>
  <c r="C155"/>
  <c r="D153"/>
  <c r="C153"/>
  <c r="D152"/>
  <c r="C152"/>
  <c r="D151"/>
  <c r="C151"/>
  <c r="D142"/>
  <c r="C142"/>
  <c r="D150"/>
  <c r="C150"/>
  <c r="D149"/>
  <c r="C149"/>
  <c r="D148"/>
  <c r="C148"/>
  <c r="D147"/>
  <c r="C147"/>
  <c r="D145"/>
  <c r="C145"/>
  <c r="D144"/>
  <c r="C144"/>
  <c r="D143"/>
  <c r="C143"/>
  <c r="E141"/>
  <c r="C141" s="1"/>
  <c r="D141"/>
  <c r="E140"/>
  <c r="C140" s="1"/>
  <c r="D140"/>
  <c r="D139"/>
  <c r="C139"/>
  <c r="D138"/>
  <c r="C138"/>
  <c r="E137"/>
  <c r="D137"/>
  <c r="D136"/>
  <c r="C136"/>
  <c r="E135"/>
  <c r="D135"/>
  <c r="D124"/>
  <c r="C124"/>
  <c r="E146"/>
  <c r="C146" s="1"/>
  <c r="D146"/>
  <c r="D134"/>
  <c r="C134"/>
  <c r="E132"/>
  <c r="D132"/>
  <c r="E133"/>
  <c r="C133" s="1"/>
  <c r="D133"/>
  <c r="E130"/>
  <c r="D130"/>
  <c r="D131"/>
  <c r="C131"/>
  <c r="D95"/>
  <c r="C95"/>
  <c r="E128"/>
  <c r="C128" s="1"/>
  <c r="D128"/>
  <c r="E129"/>
  <c r="C129" s="1"/>
  <c r="D129"/>
  <c r="D127"/>
  <c r="C127"/>
  <c r="D126"/>
  <c r="C126"/>
  <c r="D125"/>
  <c r="C125"/>
  <c r="D123"/>
  <c r="C123"/>
  <c r="E122"/>
  <c r="C122" s="1"/>
  <c r="D122"/>
  <c r="D116"/>
  <c r="C116"/>
  <c r="D121"/>
  <c r="C121"/>
  <c r="D120"/>
  <c r="C120"/>
  <c r="D119"/>
  <c r="C119"/>
  <c r="D118"/>
  <c r="C118"/>
  <c r="D117"/>
  <c r="C117"/>
  <c r="D115"/>
  <c r="C115"/>
  <c r="D114"/>
  <c r="C114"/>
  <c r="D107"/>
  <c r="C107"/>
  <c r="D113"/>
  <c r="C113"/>
  <c r="D112"/>
  <c r="C112"/>
  <c r="D111"/>
  <c r="C111"/>
  <c r="D110"/>
  <c r="C110"/>
  <c r="D109"/>
  <c r="C109"/>
  <c r="D108"/>
  <c r="C108"/>
  <c r="D106"/>
  <c r="C106"/>
  <c r="D105"/>
  <c r="C105"/>
  <c r="E104"/>
  <c r="C104" s="1"/>
  <c r="D104"/>
  <c r="D103"/>
  <c r="C103"/>
  <c r="D102"/>
  <c r="C102"/>
  <c r="D101"/>
  <c r="C101"/>
  <c r="D99"/>
  <c r="C99"/>
  <c r="D93"/>
  <c r="C93"/>
  <c r="E100"/>
  <c r="C100" s="1"/>
  <c r="D100"/>
  <c r="D98"/>
  <c r="C98"/>
  <c r="D97"/>
  <c r="C97"/>
  <c r="D96"/>
  <c r="C96"/>
  <c r="E94"/>
  <c r="C94" s="1"/>
  <c r="D94"/>
  <c r="D91"/>
  <c r="C91"/>
  <c r="D92"/>
  <c r="C92"/>
  <c r="D90"/>
  <c r="C90"/>
  <c r="D83"/>
  <c r="C83"/>
  <c r="D89"/>
  <c r="C89"/>
  <c r="D88"/>
  <c r="C88"/>
  <c r="D87"/>
  <c r="C87"/>
  <c r="D86"/>
  <c r="C86"/>
  <c r="D85"/>
  <c r="C85"/>
  <c r="E82"/>
  <c r="D82"/>
  <c r="D81"/>
  <c r="C81"/>
  <c r="D80"/>
  <c r="C80"/>
  <c r="D79"/>
  <c r="C79"/>
  <c r="D78"/>
  <c r="C78"/>
  <c r="D75"/>
  <c r="C75"/>
  <c r="E77"/>
  <c r="C77" s="1"/>
  <c r="D77"/>
  <c r="E84"/>
  <c r="C84" s="1"/>
  <c r="D84"/>
  <c r="E76"/>
  <c r="C76" s="1"/>
  <c r="D76"/>
  <c r="E74"/>
  <c r="C74" s="1"/>
  <c r="D74"/>
  <c r="D73"/>
  <c r="C73"/>
  <c r="E72"/>
  <c r="C72" s="1"/>
  <c r="D72"/>
  <c r="D71"/>
  <c r="C71"/>
  <c r="D70"/>
  <c r="C70"/>
  <c r="D69"/>
  <c r="C69"/>
  <c r="D68"/>
  <c r="C68"/>
  <c r="D59"/>
  <c r="C59"/>
  <c r="D66"/>
  <c r="C66"/>
  <c r="E65"/>
  <c r="C65" s="1"/>
  <c r="D65"/>
  <c r="D67"/>
  <c r="C67"/>
  <c r="D64"/>
  <c r="C64"/>
  <c r="D63"/>
  <c r="C63"/>
  <c r="D62"/>
  <c r="C62"/>
  <c r="D61"/>
  <c r="C61"/>
  <c r="D53"/>
  <c r="C53"/>
  <c r="D60"/>
  <c r="C60"/>
  <c r="D57"/>
  <c r="C57"/>
  <c r="D56"/>
  <c r="C56"/>
  <c r="D55"/>
  <c r="C55"/>
  <c r="D54"/>
  <c r="C54"/>
  <c r="E58"/>
  <c r="C58" s="1"/>
  <c r="D58"/>
  <c r="D48"/>
  <c r="C48"/>
  <c r="D52"/>
  <c r="C52"/>
  <c r="D51"/>
  <c r="C51"/>
  <c r="D40"/>
  <c r="C40"/>
  <c r="D49"/>
  <c r="C49"/>
  <c r="E50"/>
  <c r="C50" s="1"/>
  <c r="D50"/>
  <c r="E47"/>
  <c r="C47" s="1"/>
  <c r="D47"/>
  <c r="D46"/>
  <c r="C46"/>
  <c r="D45"/>
  <c r="C45"/>
  <c r="D42"/>
  <c r="C42"/>
  <c r="D44"/>
  <c r="C44"/>
  <c r="D43"/>
  <c r="C43"/>
  <c r="D39"/>
  <c r="C39"/>
  <c r="D38"/>
  <c r="C38"/>
  <c r="D37"/>
  <c r="C37"/>
  <c r="D36"/>
  <c r="C36"/>
  <c r="D35"/>
  <c r="C35"/>
  <c r="D33"/>
  <c r="C33"/>
  <c r="E34"/>
  <c r="C34" s="1"/>
  <c r="D34"/>
  <c r="D32"/>
  <c r="C32"/>
  <c r="D31"/>
  <c r="C31"/>
  <c r="D28"/>
  <c r="C28"/>
  <c r="D30"/>
  <c r="C30"/>
  <c r="E29"/>
  <c r="C29" s="1"/>
  <c r="D29"/>
  <c r="D27"/>
  <c r="C27"/>
  <c r="D26"/>
  <c r="C26"/>
  <c r="E25"/>
  <c r="C25" s="1"/>
  <c r="D25"/>
  <c r="D24"/>
  <c r="C24"/>
  <c r="D23"/>
  <c r="C23"/>
  <c r="D22"/>
  <c r="C22"/>
  <c r="E21"/>
  <c r="C21" s="1"/>
  <c r="D21"/>
  <c r="D20"/>
  <c r="C20"/>
  <c r="D19"/>
  <c r="C19"/>
  <c r="D18"/>
  <c r="C18"/>
  <c r="E17"/>
  <c r="C17" s="1"/>
  <c r="D17"/>
  <c r="D16"/>
  <c r="C16"/>
  <c r="D15"/>
  <c r="C15"/>
  <c r="D14"/>
  <c r="C14"/>
  <c r="D13"/>
  <c r="C13"/>
  <c r="D12"/>
  <c r="C12"/>
  <c r="D11"/>
  <c r="C11"/>
  <c r="E10"/>
  <c r="C10" s="1"/>
  <c r="D10"/>
  <c r="E9"/>
  <c r="C9" s="1"/>
  <c r="D9"/>
  <c r="D8"/>
  <c r="C8"/>
  <c r="D7"/>
  <c r="C7"/>
  <c r="D6"/>
  <c r="C6"/>
  <c r="C166" l="1"/>
  <c r="C82"/>
  <c r="C132"/>
  <c r="C130"/>
  <c r="C135"/>
  <c r="C137"/>
  <c r="A6" l="1"/>
  <c r="A7" s="1"/>
</calcChain>
</file>

<file path=xl/sharedStrings.xml><?xml version="1.0" encoding="utf-8"?>
<sst xmlns="http://schemas.openxmlformats.org/spreadsheetml/2006/main" count="248" uniqueCount="170">
  <si>
    <t>ASSET TABLE</t>
  </si>
  <si>
    <t>Posi-</t>
  </si>
  <si>
    <t>Name</t>
  </si>
  <si>
    <t xml:space="preserve">             </t>
  </si>
  <si>
    <t xml:space="preserve">    Date</t>
  </si>
  <si>
    <t>tion</t>
  </si>
  <si>
    <t>Barclays Bank Plc</t>
  </si>
  <si>
    <t>H S B C Bank Plc</t>
  </si>
  <si>
    <t>National Westminster Bank Plc</t>
  </si>
  <si>
    <t>Standard Chartered Bank  US$</t>
  </si>
  <si>
    <t>F C E Bank Plc</t>
  </si>
  <si>
    <t>Mizuho International Plc</t>
  </si>
  <si>
    <t>Ulster Bank Ltd</t>
  </si>
  <si>
    <t>Co-operative Bank Plc, The</t>
  </si>
  <si>
    <t>Coutts &amp; Co</t>
  </si>
  <si>
    <t>D B UK Bank Ltd</t>
  </si>
  <si>
    <t>Clydesdale Bank Plc</t>
  </si>
  <si>
    <t>Northern Bank Ltd</t>
  </si>
  <si>
    <t>Close Brothers Ltd</t>
  </si>
  <si>
    <t>Cater Allen Ltd</t>
  </si>
  <si>
    <t>Gulf International Bank (UK) Ltd  US$</t>
  </si>
  <si>
    <t>H S B C Private Bank (UK) Ltd</t>
  </si>
  <si>
    <t>J P Morgan Europe Ltd  US$</t>
  </si>
  <si>
    <t>Marks &amp; Spencer Financial Services Plc</t>
  </si>
  <si>
    <t>Ahli United Bank (UK) Plc  US$</t>
  </si>
  <si>
    <t>Sainsbury's Bank Plc</t>
  </si>
  <si>
    <t>A B C International Bank Plc</t>
  </si>
  <si>
    <t>National Bank of Kuwait (Intl) Plc  US$</t>
  </si>
  <si>
    <t>Morgan Stanley Bank International Ltd</t>
  </si>
  <si>
    <t>Schroder &amp; Co Ltd</t>
  </si>
  <si>
    <t>C Hoare &amp; Co</t>
  </si>
  <si>
    <t>E F G Private Bank Ltd</t>
  </si>
  <si>
    <t>Bank Leumi (UK) Plc</t>
  </si>
  <si>
    <t>National Bank of Egypt (UK)  Ltd</t>
  </si>
  <si>
    <t>C A F Bank Ltd</t>
  </si>
  <si>
    <t>Brown Shipley &amp; Co Ltd</t>
  </si>
  <si>
    <t>Julian Hodge Bank Ltd</t>
  </si>
  <si>
    <t>Rathbone Investment Management Ltd</t>
  </si>
  <si>
    <t>Alpha Bank London Ltd</t>
  </si>
  <si>
    <t>Unity Trust Bank Plc</t>
  </si>
  <si>
    <t>F B N Bank (UK) Ltd</t>
  </si>
  <si>
    <t>Credit Suisse (UK) Ltd</t>
  </si>
  <si>
    <t>Ghana International Bank Plc</t>
  </si>
  <si>
    <t>Arbuthnot Latham &amp; Co Ltd</t>
  </si>
  <si>
    <t>H S B C Trust Co (UK) Ltd</t>
  </si>
  <si>
    <t>Bank Mandiri (Europe) Ltd  US$</t>
  </si>
  <si>
    <t>Jordan Intl Bank Plc</t>
  </si>
  <si>
    <t>Reliance Bank Ltd</t>
  </si>
  <si>
    <t>Kexim Bank (UK) Ltd</t>
  </si>
  <si>
    <t>Turkish Bank (UK) Ltd</t>
  </si>
  <si>
    <t>Weatherbys Bank Ltd</t>
  </si>
  <si>
    <t>United National Bank Ltd</t>
  </si>
  <si>
    <t>Bank of Beirut (UK) Ltd</t>
  </si>
  <si>
    <t>United Trust Bank Ltd</t>
  </si>
  <si>
    <t>Secure Trust Bank Plc</t>
  </si>
  <si>
    <t>Vanquis Bank Ltd</t>
  </si>
  <si>
    <t>Charity Bank Ltd, The</t>
  </si>
  <si>
    <t>Methodist Chapel Aid Ltd</t>
  </si>
  <si>
    <t>Kingdom Bank Ltd</t>
  </si>
  <si>
    <t>Average Asset</t>
  </si>
  <si>
    <t xml:space="preserve"> </t>
  </si>
  <si>
    <t>Credit Suisse International  US$</t>
  </si>
  <si>
    <t>Crown Agents Bank Ltd</t>
  </si>
  <si>
    <t>Havin Bank Ltd</t>
  </si>
  <si>
    <t>ICICI Bank UK Plc   US$</t>
  </si>
  <si>
    <t>Westpac Europe Ltd US$</t>
  </si>
  <si>
    <t>Foreign</t>
  </si>
  <si>
    <t>Currency</t>
  </si>
  <si>
    <t>Bank of London &amp; The Middle East Plc</t>
  </si>
  <si>
    <t>Bank of China (UK) Ltd</t>
  </si>
  <si>
    <t>Bank of Scotland Plc</t>
  </si>
  <si>
    <t>Wesleyan Bank Ltd</t>
  </si>
  <si>
    <t>Guaranty Trust Bank (UK) Ltd</t>
  </si>
  <si>
    <t>Gatehouse Bank Plc</t>
  </si>
  <si>
    <t>Melli Bank Plc  €</t>
  </si>
  <si>
    <t>Bank of New York Mellon (International) Ltd, The</t>
  </si>
  <si>
    <t>Bank of the Philippine Islands (Europe) Plc</t>
  </si>
  <si>
    <t>Persia International Bank Plc €</t>
  </si>
  <si>
    <t>Punjab National Bank (International) Ltd US$</t>
  </si>
  <si>
    <t>Bank Saderat Plc €</t>
  </si>
  <si>
    <t>Tesco Personal Finance Plc</t>
  </si>
  <si>
    <t>Investec Bank Plc</t>
  </si>
  <si>
    <t>Aldermore Bank Plc</t>
  </si>
  <si>
    <t>Bank Sepah International Plc  €</t>
  </si>
  <si>
    <t>Europe Arab Bank Plc €</t>
  </si>
  <si>
    <t>Union Bank UK Plc US$</t>
  </si>
  <si>
    <t>Bank of Ceylon (UK) Ltd</t>
  </si>
  <si>
    <t>Metro Bank Plc</t>
  </si>
  <si>
    <t>Santander UK Plc</t>
  </si>
  <si>
    <t>British Arab Commercial Bank Plc</t>
  </si>
  <si>
    <t>VTB Capital Plc US$</t>
  </si>
  <si>
    <t>Bank of Ireland (UK) Plc</t>
  </si>
  <si>
    <t>Q I B (UK) Plc</t>
  </si>
  <si>
    <t>OneSavings Bank Plc</t>
  </si>
  <si>
    <t>R B C Europe Ltd</t>
  </si>
  <si>
    <t>Shawbrook Bank Ltd</t>
  </si>
  <si>
    <t>Nomura Bank Intl Plc US$</t>
  </si>
  <si>
    <t>I C B C (London) Plc US$</t>
  </si>
  <si>
    <t>Goldman Sachs International Bank US$</t>
  </si>
  <si>
    <t>Cambridge &amp; Counties Bank Ltd</t>
  </si>
  <si>
    <t>J P Morgan Securities Plc US$</t>
  </si>
  <si>
    <t>A I B Group (UK) Plc</t>
  </si>
  <si>
    <t>Scotiabank Europe Plc US$</t>
  </si>
  <si>
    <t>Itau BBA International Plc US$</t>
  </si>
  <si>
    <t>TSB Bank Plc</t>
  </si>
  <si>
    <t>Paragon Bank Plc</t>
  </si>
  <si>
    <t>Hampden &amp; Co Plc</t>
  </si>
  <si>
    <t>Axis Bank UK Ltd US$</t>
  </si>
  <si>
    <t>Union Bank of India (UK) Ltd US$</t>
  </si>
  <si>
    <t>Charter Court Financial Services Ltd</t>
  </si>
  <si>
    <t>Hampshire Trust Bank Plc</t>
  </si>
  <si>
    <t>I C B C Standard Bank Plc US$</t>
  </si>
  <si>
    <t>Al Rayan Bank Plc</t>
  </si>
  <si>
    <t>Zenith Bank (UK) Ltd US$</t>
  </si>
  <si>
    <t>Atom Bank Plc</t>
  </si>
  <si>
    <t>F C M B Bank (UK) Ltd US$</t>
  </si>
  <si>
    <t>Philippine National Bank (Europe) Plc</t>
  </si>
  <si>
    <t>Masthaven Bank Ltd</t>
  </si>
  <si>
    <t>Habib Bank Zurich Plc</t>
  </si>
  <si>
    <t>Starling Bank Ltd</t>
  </si>
  <si>
    <t>Monzo Bank Ltd</t>
  </si>
  <si>
    <t>Wyelands Bank Plc</t>
  </si>
  <si>
    <t>ClearBank Limited</t>
  </si>
  <si>
    <t>P C F Bank Limited</t>
  </si>
  <si>
    <t>Redwood Bank Limited</t>
  </si>
  <si>
    <t>Barclays Bank UK Plc</t>
  </si>
  <si>
    <t>State Bank of India (UK) Ltd</t>
  </si>
  <si>
    <t>Lloyds Bank Corporate Markets Plc</t>
  </si>
  <si>
    <t>H S B C UK Bank Plc</t>
  </si>
  <si>
    <t>S G Kleinwort Hambros Bank Ltd</t>
  </si>
  <si>
    <t>Chetwood Financial Ltd</t>
  </si>
  <si>
    <t>Tandem Bank Ltd</t>
  </si>
  <si>
    <t>Bank Of Baroda (UK) Ltd</t>
  </si>
  <si>
    <t>NatWest Markets Plc</t>
  </si>
  <si>
    <t>OakNorth Bank Plc</t>
  </si>
  <si>
    <t>Royal Bank of Scotland Plc, The</t>
  </si>
  <si>
    <t>United Bank for Africa (UK) Ltd US$</t>
  </si>
  <si>
    <t>Handelsbanken Plc</t>
  </si>
  <si>
    <t>R C I Bank UK Ltd</t>
  </si>
  <si>
    <t>Triodos Bank UK Ltd</t>
  </si>
  <si>
    <t>Zopa Bank Ltd</t>
  </si>
  <si>
    <t>H B L Bank UK Ltd</t>
  </si>
  <si>
    <t>Cynergy Bank Ltd</t>
  </si>
  <si>
    <t>Santander Financial Services Plc</t>
  </si>
  <si>
    <t>Allica Bank Ltd</t>
  </si>
  <si>
    <t>Citibank UK Ltd</t>
  </si>
  <si>
    <t>J N Bank UK Ltd</t>
  </si>
  <si>
    <t>Castle Trust Capital Plc</t>
  </si>
  <si>
    <t>Lloyds Bank Plc</t>
  </si>
  <si>
    <t>D F Capital Bank Ltd</t>
  </si>
  <si>
    <t>Oxbury Bank Plc</t>
  </si>
  <si>
    <t>Access Bank UK Ltd, The US$</t>
  </si>
  <si>
    <t>S M B C Bank International Plc US$</t>
  </si>
  <si>
    <t>Recognise Bank Ltd</t>
  </si>
  <si>
    <t>Advanced Payment Solutions Ltd</t>
  </si>
  <si>
    <t>Monument Bank Ltd</t>
  </si>
  <si>
    <t>Birmingham Bank Ltd</t>
  </si>
  <si>
    <t>Bank North Ltd</t>
  </si>
  <si>
    <t>Bank of Africa United Kingdom Plc</t>
  </si>
  <si>
    <t>G B Bank Ltd</t>
  </si>
  <si>
    <t>iFAST Global Bank Ltd</t>
  </si>
  <si>
    <t>Bank of London Group Ltd, The</t>
  </si>
  <si>
    <t>© Searchline Publishing 2022</t>
  </si>
  <si>
    <t>Kroo Bank Ltd</t>
  </si>
  <si>
    <t>Ashman Bank Ltd</t>
  </si>
  <si>
    <t>Fiinu Bank Ltd</t>
  </si>
  <si>
    <t>Perenna Bank Plc</t>
  </si>
  <si>
    <t>Silicon Valley Bank UK Ltd</t>
  </si>
  <si>
    <t>StreamBank Plc</t>
  </si>
  <si>
    <t>T D Bank Europe Ltd Can $</t>
  </si>
</sst>
</file>

<file path=xl/styles.xml><?xml version="1.0" encoding="utf-8"?>
<styleSheet xmlns="http://schemas.openxmlformats.org/spreadsheetml/2006/main">
  <numFmts count="2">
    <numFmt numFmtId="164" formatCode="dd\-mmm\-yy_)"/>
    <numFmt numFmtId="165" formatCode="#,##0_);\(#,##0\)"/>
  </numFmts>
  <fonts count="3">
    <font>
      <sz val="12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5" fontId="0" fillId="0" borderId="0"/>
  </cellStyleXfs>
  <cellXfs count="7">
    <xf numFmtId="165" fontId="0" fillId="0" borderId="0" xfId="0"/>
    <xf numFmtId="165" fontId="1" fillId="0" borderId="0" xfId="0" applyFont="1" applyProtection="1"/>
    <xf numFmtId="165" fontId="2" fillId="0" borderId="0" xfId="0" applyFont="1" applyProtection="1"/>
    <xf numFmtId="165" fontId="2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Font="1"/>
    <xf numFmtId="165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54" Type="http://schemas.openxmlformats.org/officeDocument/2006/relationships/externalLink" Target="externalLinks/externalLink153.xml"/><Relationship Id="rId159" Type="http://schemas.openxmlformats.org/officeDocument/2006/relationships/externalLink" Target="externalLinks/externalLink158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55" Type="http://schemas.openxmlformats.org/officeDocument/2006/relationships/externalLink" Target="externalLinks/externalLink15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6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CLAY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qib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habibag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TANDEM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masth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GHANA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hampden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UNITEDNA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CASTLETST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WESLEYAN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Hblban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ATWEST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ALPHABK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redwood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ULSTER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af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ADVA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guaranty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pcfbank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unitedba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BE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chetwo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CREDITSU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dfcap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KEXIM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JORDAN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unioin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cmb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BANKSEPA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charity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MELLI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westpac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RELIA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ROYALBA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BANKSADE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TURKISH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PERSIA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OXBURY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ph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BANKMAND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union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RECOG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HAVANA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kingdo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CLYDES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ifast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axis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ce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JNBANKUK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monument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METHO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HSBCTR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BIRMI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wyelands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gbban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lloydsco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PHILIPPI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kroo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HSBCREPU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LG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ashman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BANKNORTH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inu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perenna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silicon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strea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GOLDM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ROYBKCA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COUT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tsbba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LOYD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mbcban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ande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CO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INVESTE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COTI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ONESAV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i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metr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MIZUH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ICBC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SBCB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TDBANK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alde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parag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ORTHBA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ALLIEDI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STARLIN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CLOS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N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shaw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rgansec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e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TESC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GULFIN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OAR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CITIBANK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itau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NF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SAINSBU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monz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C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CHAR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MORGANS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EFGPRIV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rcibank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NOMU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ato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MARK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creditsuuk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oaknorth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cynerg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ARBUTH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ATIONW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MORGANEU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SECUR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RATH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AB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BRITISH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clearbank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SCHRODER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NATBKKUW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BNBAN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acces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sbcuk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AMBRO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ahliun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zenith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ALRAYAN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unitedts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AMPS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ch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europar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triodos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icic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arclaysb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ind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ODGEJ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vanquis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dbbank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BANKLEUM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UNITY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CAFCASH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lo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WEATHERB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vtbban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sc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zopabank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CROWNAGE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cambri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NATBKEGY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BROWN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icbc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gateh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bankofba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ALLICA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punja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1061778000000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287098000000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894731193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892077000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853719000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7791</v>
          </cell>
        </row>
        <row r="32">
          <cell r="I32">
            <v>851694000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766627624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756181000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668720870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7944</v>
          </cell>
        </row>
        <row r="32">
          <cell r="I32">
            <v>659268000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616547000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554142000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203011000000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530496000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527973212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522000000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496686000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494757000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7671</v>
          </cell>
        </row>
        <row r="32">
          <cell r="I32">
            <v>460979918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7944</v>
          </cell>
        </row>
        <row r="32">
          <cell r="I32">
            <v>444786000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522537000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410239267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400038000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244515000000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393075000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386490055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384254000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402605000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402453155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364099000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312072000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313733000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7944</v>
          </cell>
        </row>
        <row r="32">
          <cell r="I32">
            <v>327727000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251247132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106095000000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221900802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190149000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209888000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165797000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159915215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183356000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170895000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136840000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121038862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75541000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8309</v>
          </cell>
        </row>
        <row r="32">
          <cell r="I32">
            <v>92010000000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71736000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84890450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48630000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7761</v>
          </cell>
        </row>
        <row r="32">
          <cell r="I32">
            <v>46517000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45557014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40154805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26456000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22777053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7791</v>
          </cell>
        </row>
        <row r="32">
          <cell r="I32">
            <v>20120000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17606000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88699000000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15316000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10408112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7519000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7914</v>
          </cell>
        </row>
        <row r="32">
          <cell r="I32">
            <v>100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0</v>
          </cell>
        </row>
        <row r="32">
          <cell r="I32">
            <v>0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0</v>
          </cell>
        </row>
        <row r="32">
          <cell r="I32">
            <v>0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0</v>
          </cell>
        </row>
        <row r="32">
          <cell r="I32">
            <v>0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0</v>
          </cell>
        </row>
        <row r="32">
          <cell r="I32">
            <v>0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0</v>
          </cell>
        </row>
        <row r="32">
          <cell r="I32">
            <v>0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0</v>
          </cell>
        </row>
        <row r="32">
          <cell r="I3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86522000000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7975</v>
          </cell>
        </row>
        <row r="32">
          <cell r="I32">
            <v>49173176000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46913000000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46705600000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602849000000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54017100000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32664899000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29323300000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27588676000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7975</v>
          </cell>
        </row>
        <row r="32">
          <cell r="I32">
            <v>32658486000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24532500000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22705000000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22587000000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22058900000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26268500000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596611000000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7975</v>
          </cell>
        </row>
        <row r="32">
          <cell r="I32">
            <v>19119360000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8217</v>
          </cell>
        </row>
        <row r="32">
          <cell r="I32">
            <v>17290700000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15065000000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7944</v>
          </cell>
        </row>
        <row r="32">
          <cell r="I32">
            <v>13505600000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13125173000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12688000000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11905404000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8248</v>
          </cell>
        </row>
        <row r="32">
          <cell r="I32">
            <v>11508300000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11227068000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11023100000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715793446000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10571900000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8095</v>
          </cell>
        </row>
        <row r="32">
          <cell r="I32">
            <v>9634800000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10576392000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7274665000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7194284000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8917966000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6589000000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8095</v>
          </cell>
        </row>
        <row r="32">
          <cell r="I32">
            <v>6436000000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8095</v>
          </cell>
        </row>
        <row r="32">
          <cell r="I32">
            <v>5218429000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5167480000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544791000000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5166317000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5058680000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4995682000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5873933000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4592887000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4205581000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3579171000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3570311000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3518034000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3373371000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434563000000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3620536000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2885900000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2843239000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2805879000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2782543000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2772608000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2749041000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3320347000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2594344445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3084753539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346063000000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2448463000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2998843000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2880458633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2258891000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2254178000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2190531000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2151180000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2263655000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1834464000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2241973000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319695000000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7761</v>
          </cell>
        </row>
        <row r="32">
          <cell r="I32">
            <v>1755410000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7944</v>
          </cell>
        </row>
        <row r="32">
          <cell r="I32">
            <v>1713400000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1700300000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1678171000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1657771000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1622794000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8156</v>
          </cell>
        </row>
        <row r="32">
          <cell r="I32">
            <v>1556044000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1548850000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1476083000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1820617000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310560000000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1430971000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1311970000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1274871000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1212752908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1152277000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1420688000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1026358000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7761</v>
          </cell>
        </row>
        <row r="32">
          <cell r="I32">
            <v>978200000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8036</v>
          </cell>
        </row>
        <row r="32">
          <cell r="I32">
            <v>950207000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">
          <cell r="I7">
            <v>8126</v>
          </cell>
        </row>
        <row r="32">
          <cell r="I32">
            <v>1126259000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78"/>
  <sheetViews>
    <sheetView tabSelected="1" defaultGridColor="0" topLeftCell="A148" colorId="22" zoomScale="87" workbookViewId="0">
      <selection activeCell="B41" sqref="B41"/>
    </sheetView>
  </sheetViews>
  <sheetFormatPr defaultColWidth="9.77734375" defaultRowHeight="15"/>
  <cols>
    <col min="1" max="1" width="4.77734375" style="5" customWidth="1"/>
    <col min="2" max="2" width="37.88671875" style="5" customWidth="1"/>
    <col min="3" max="3" width="16.77734375" style="5" customWidth="1"/>
    <col min="4" max="4" width="10.88671875" style="5" customWidth="1"/>
    <col min="5" max="5" width="15.109375" style="5" customWidth="1"/>
    <col min="6" max="16384" width="9.77734375" style="5"/>
  </cols>
  <sheetData>
    <row r="1" spans="1:5">
      <c r="A1" s="1"/>
      <c r="B1" s="1"/>
      <c r="C1" s="1"/>
      <c r="D1" s="1"/>
      <c r="E1" s="1"/>
    </row>
    <row r="2" spans="1:5" ht="15.75">
      <c r="A2" s="2"/>
      <c r="B2" s="2" t="s">
        <v>0</v>
      </c>
      <c r="C2" s="2"/>
      <c r="D2" s="2"/>
      <c r="E2" s="2"/>
    </row>
    <row r="3" spans="1:5" ht="15.75">
      <c r="A3" s="2"/>
      <c r="B3" s="2"/>
      <c r="C3" s="2"/>
      <c r="D3" s="2"/>
      <c r="E3" s="2"/>
    </row>
    <row r="4" spans="1:5" ht="15.75">
      <c r="A4" s="2" t="s">
        <v>1</v>
      </c>
      <c r="B4" s="2" t="s">
        <v>2</v>
      </c>
      <c r="C4" s="2" t="s">
        <v>3</v>
      </c>
      <c r="D4" s="2" t="s">
        <v>4</v>
      </c>
      <c r="E4" s="3" t="s">
        <v>66</v>
      </c>
    </row>
    <row r="5" spans="1:5" ht="15.75">
      <c r="A5" s="2" t="s">
        <v>5</v>
      </c>
      <c r="B5" s="2"/>
      <c r="C5" s="2"/>
      <c r="D5" s="2"/>
      <c r="E5" s="3" t="s">
        <v>67</v>
      </c>
    </row>
    <row r="6" spans="1:5">
      <c r="A6" s="1">
        <f>1+A5</f>
        <v>1</v>
      </c>
      <c r="B6" s="1" t="s">
        <v>6</v>
      </c>
      <c r="C6" s="1">
        <f>[1]A!$I$32</f>
        <v>1061778000000</v>
      </c>
      <c r="D6" s="4">
        <f>[1]A!$I$7</f>
        <v>8036</v>
      </c>
      <c r="E6" s="1" t="s">
        <v>60</v>
      </c>
    </row>
    <row r="7" spans="1:5">
      <c r="A7" s="1">
        <f>1+A6</f>
        <v>2</v>
      </c>
      <c r="B7" s="1" t="s">
        <v>148</v>
      </c>
      <c r="C7" s="1">
        <f>[2]A!$I$32</f>
        <v>602849000000</v>
      </c>
      <c r="D7" s="4">
        <f>[2]A!$I$7</f>
        <v>8036</v>
      </c>
      <c r="E7" s="1" t="s">
        <v>60</v>
      </c>
    </row>
    <row r="8" spans="1:5">
      <c r="A8" s="1">
        <f t="shared" ref="A8:A71" si="0">1+A7</f>
        <v>3</v>
      </c>
      <c r="B8" s="1" t="s">
        <v>7</v>
      </c>
      <c r="C8" s="1">
        <f>[3]A!$I$32</f>
        <v>596611000000</v>
      </c>
      <c r="D8" s="4">
        <f>[3]A!$I$7</f>
        <v>8036</v>
      </c>
      <c r="E8" s="1" t="s">
        <v>60</v>
      </c>
    </row>
    <row r="9" spans="1:5">
      <c r="A9" s="1">
        <f t="shared" si="0"/>
        <v>4</v>
      </c>
      <c r="B9" s="1" t="s">
        <v>100</v>
      </c>
      <c r="C9" s="5">
        <f>E9/1.24</f>
        <v>577252779032.25806</v>
      </c>
      <c r="D9" s="4">
        <f>[4]A!$I$7</f>
        <v>8036</v>
      </c>
      <c r="E9" s="1">
        <f>[4]A!$I$32</f>
        <v>715793446000</v>
      </c>
    </row>
    <row r="10" spans="1:5">
      <c r="A10" s="1">
        <f t="shared" si="0"/>
        <v>5</v>
      </c>
      <c r="B10" s="1" t="s">
        <v>9</v>
      </c>
      <c r="C10" s="5">
        <f>E10/1.24</f>
        <v>439347580645.16132</v>
      </c>
      <c r="D10" s="4">
        <f>[5]A!$I$7</f>
        <v>8036</v>
      </c>
      <c r="E10" s="1">
        <f>[5]A!$I$32</f>
        <v>544791000000</v>
      </c>
    </row>
    <row r="11" spans="1:5">
      <c r="A11" s="1">
        <f t="shared" si="0"/>
        <v>6</v>
      </c>
      <c r="B11" s="1" t="s">
        <v>8</v>
      </c>
      <c r="C11" s="1">
        <f>[6]A!$I$32</f>
        <v>434563000000</v>
      </c>
      <c r="D11" s="4">
        <f>[6]A!$I$7</f>
        <v>8036</v>
      </c>
      <c r="E11" s="1" t="s">
        <v>60</v>
      </c>
    </row>
    <row r="12" spans="1:5">
      <c r="A12" s="1">
        <f t="shared" si="0"/>
        <v>7</v>
      </c>
      <c r="B12" s="1" t="s">
        <v>128</v>
      </c>
      <c r="C12" s="1">
        <f>[7]A!$I$32</f>
        <v>346063000000</v>
      </c>
      <c r="D12" s="4">
        <f>[7]A!$I$7</f>
        <v>8036</v>
      </c>
      <c r="E12" s="1" t="s">
        <v>60</v>
      </c>
    </row>
    <row r="13" spans="1:5">
      <c r="A13" s="1">
        <f t="shared" si="0"/>
        <v>8</v>
      </c>
      <c r="B13" s="5" t="s">
        <v>125</v>
      </c>
      <c r="C13" s="1">
        <f>[8]A!$I$32</f>
        <v>319695000000</v>
      </c>
      <c r="D13" s="4">
        <f>[8]A!$I$7</f>
        <v>8036</v>
      </c>
    </row>
    <row r="14" spans="1:5">
      <c r="A14" s="1">
        <f t="shared" si="0"/>
        <v>9</v>
      </c>
      <c r="B14" s="1" t="s">
        <v>70</v>
      </c>
      <c r="C14" s="1">
        <f>[9]A!$I$32</f>
        <v>310560000000</v>
      </c>
      <c r="D14" s="4">
        <f>[9]A!$I$7</f>
        <v>8036</v>
      </c>
      <c r="E14" s="1"/>
    </row>
    <row r="15" spans="1:5">
      <c r="A15" s="1">
        <f t="shared" si="0"/>
        <v>10</v>
      </c>
      <c r="B15" s="1" t="s">
        <v>88</v>
      </c>
      <c r="C15" s="1">
        <f>[10]A!$I$32</f>
        <v>287098000000</v>
      </c>
      <c r="D15" s="4">
        <f>[10]A!$I$7</f>
        <v>8036</v>
      </c>
      <c r="E15" s="1" t="s">
        <v>60</v>
      </c>
    </row>
    <row r="16" spans="1:5">
      <c r="A16" s="1">
        <f t="shared" si="0"/>
        <v>11</v>
      </c>
      <c r="B16" s="1" t="s">
        <v>133</v>
      </c>
      <c r="C16" s="1">
        <f>[11]A!$I$32</f>
        <v>203011000000</v>
      </c>
      <c r="D16" s="4">
        <f>[11]A!$I$7</f>
        <v>8036</v>
      </c>
      <c r="E16" s="1" t="s">
        <v>60</v>
      </c>
    </row>
    <row r="17" spans="1:5">
      <c r="A17" s="1">
        <f t="shared" si="0"/>
        <v>12</v>
      </c>
      <c r="B17" s="1" t="s">
        <v>61</v>
      </c>
      <c r="C17" s="5">
        <f>E17/1.24</f>
        <v>197189516129.03226</v>
      </c>
      <c r="D17" s="4">
        <f>[12]A!$I$7</f>
        <v>8036</v>
      </c>
      <c r="E17" s="1">
        <f>[12]A!$I$32</f>
        <v>244515000000</v>
      </c>
    </row>
    <row r="18" spans="1:5">
      <c r="A18" s="1">
        <f t="shared" si="0"/>
        <v>13</v>
      </c>
      <c r="B18" s="1" t="s">
        <v>135</v>
      </c>
      <c r="C18" s="1">
        <f>[13]A!$I$32</f>
        <v>106095000000</v>
      </c>
      <c r="D18" s="4">
        <f>[13]A!$I$7</f>
        <v>8036</v>
      </c>
      <c r="E18" s="1" t="s">
        <v>60</v>
      </c>
    </row>
    <row r="19" spans="1:5">
      <c r="A19" s="1">
        <f t="shared" si="0"/>
        <v>14</v>
      </c>
      <c r="B19" s="1" t="s">
        <v>16</v>
      </c>
      <c r="C19" s="1">
        <f>[14]A!$I$32</f>
        <v>92010000000</v>
      </c>
      <c r="D19" s="4">
        <f>[14]A!$I$7</f>
        <v>8309</v>
      </c>
      <c r="E19" s="1" t="s">
        <v>60</v>
      </c>
    </row>
    <row r="20" spans="1:5">
      <c r="A20" s="1">
        <f t="shared" si="0"/>
        <v>15</v>
      </c>
      <c r="B20" s="1" t="s">
        <v>127</v>
      </c>
      <c r="C20" s="1">
        <f>[15]A!$I$32</f>
        <v>88699000000</v>
      </c>
      <c r="D20" s="4">
        <f>[15]A!$I$7</f>
        <v>8036</v>
      </c>
      <c r="E20" s="1" t="s">
        <v>60</v>
      </c>
    </row>
    <row r="21" spans="1:5">
      <c r="A21" s="1">
        <f t="shared" si="0"/>
        <v>16</v>
      </c>
      <c r="B21" s="1" t="s">
        <v>98</v>
      </c>
      <c r="C21" s="5">
        <f>E21/1.24</f>
        <v>69775806451.6129</v>
      </c>
      <c r="D21" s="4">
        <f>[16]A!$I$7</f>
        <v>8036</v>
      </c>
      <c r="E21" s="1">
        <f>[16]A!$I$32</f>
        <v>86522000000</v>
      </c>
    </row>
    <row r="22" spans="1:5">
      <c r="A22" s="1">
        <f t="shared" si="0"/>
        <v>17</v>
      </c>
      <c r="B22" s="1" t="s">
        <v>94</v>
      </c>
      <c r="C22" s="1">
        <f>[17]A!$I$32</f>
        <v>49173176000</v>
      </c>
      <c r="D22" s="4">
        <f>[17]A!$I$7</f>
        <v>7975</v>
      </c>
      <c r="E22" s="1" t="s">
        <v>60</v>
      </c>
    </row>
    <row r="23" spans="1:5">
      <c r="A23" s="1">
        <f t="shared" si="0"/>
        <v>18</v>
      </c>
      <c r="B23" s="1" t="s">
        <v>14</v>
      </c>
      <c r="C23" s="1">
        <f>[18]A!$I$32</f>
        <v>46913000000</v>
      </c>
      <c r="D23" s="4">
        <f>[18]A!$I$7</f>
        <v>8036</v>
      </c>
      <c r="E23" s="1" t="s">
        <v>60</v>
      </c>
    </row>
    <row r="24" spans="1:5">
      <c r="A24" s="1">
        <f t="shared" si="0"/>
        <v>19</v>
      </c>
      <c r="B24" s="1" t="s">
        <v>104</v>
      </c>
      <c r="C24" s="1">
        <f>[19]A!$I$32</f>
        <v>46705600000</v>
      </c>
      <c r="D24" s="4">
        <f>[19]A!$I$7</f>
        <v>8036</v>
      </c>
      <c r="E24" s="1" t="s">
        <v>60</v>
      </c>
    </row>
    <row r="25" spans="1:5">
      <c r="A25" s="1">
        <f t="shared" si="0"/>
        <v>20</v>
      </c>
      <c r="B25" s="1" t="s">
        <v>152</v>
      </c>
      <c r="C25" s="5">
        <f>E25/1.24</f>
        <v>43562177419.354836</v>
      </c>
      <c r="D25" s="4">
        <f>[20]A!$I$7</f>
        <v>8126</v>
      </c>
      <c r="E25" s="1">
        <f>[20]A!$I$32</f>
        <v>54017100000</v>
      </c>
    </row>
    <row r="26" spans="1:5">
      <c r="A26" s="1">
        <f t="shared" si="0"/>
        <v>21</v>
      </c>
      <c r="B26" s="5" t="s">
        <v>137</v>
      </c>
      <c r="C26" s="1">
        <f>[21]A!$I$32</f>
        <v>32664899000</v>
      </c>
      <c r="D26" s="4">
        <f>[21]A!$I$7</f>
        <v>8036</v>
      </c>
    </row>
    <row r="27" spans="1:5">
      <c r="A27" s="1">
        <f t="shared" si="0"/>
        <v>22</v>
      </c>
      <c r="B27" s="1" t="s">
        <v>13</v>
      </c>
      <c r="C27" s="1">
        <f>[22]A!$I$32</f>
        <v>29323300000</v>
      </c>
      <c r="D27" s="4">
        <f>[22]A!$I$7</f>
        <v>8036</v>
      </c>
      <c r="E27" s="1" t="s">
        <v>60</v>
      </c>
    </row>
    <row r="28" spans="1:5">
      <c r="A28" s="1">
        <f t="shared" si="0"/>
        <v>23</v>
      </c>
      <c r="B28" s="1" t="s">
        <v>81</v>
      </c>
      <c r="C28" s="1">
        <f>[23]A!$I$32</f>
        <v>27588676000</v>
      </c>
      <c r="D28" s="4">
        <f>[23]A!$I$7</f>
        <v>8126</v>
      </c>
      <c r="E28" s="1" t="s">
        <v>60</v>
      </c>
    </row>
    <row r="29" spans="1:5">
      <c r="A29" s="1">
        <f t="shared" si="0"/>
        <v>24</v>
      </c>
      <c r="B29" s="1" t="s">
        <v>102</v>
      </c>
      <c r="C29" s="5">
        <f>E29/1.24</f>
        <v>26337488709.677418</v>
      </c>
      <c r="D29" s="4">
        <f>[24]A!$I$7</f>
        <v>7975</v>
      </c>
      <c r="E29" s="1">
        <f>[24]A!$I$32</f>
        <v>32658486000</v>
      </c>
    </row>
    <row r="30" spans="1:5">
      <c r="A30" s="1">
        <f t="shared" si="0"/>
        <v>25</v>
      </c>
      <c r="B30" s="1" t="s">
        <v>93</v>
      </c>
      <c r="C30" s="1">
        <f>[25]A!$I$32</f>
        <v>24532500000</v>
      </c>
      <c r="D30" s="4">
        <f>[25]A!$I$7</f>
        <v>8036</v>
      </c>
      <c r="E30" s="1" t="s">
        <v>60</v>
      </c>
    </row>
    <row r="31" spans="1:5">
      <c r="A31" s="1">
        <f t="shared" si="0"/>
        <v>26</v>
      </c>
      <c r="B31" s="1" t="s">
        <v>91</v>
      </c>
      <c r="C31" s="1">
        <f>[26]A!$I$32</f>
        <v>22705000000</v>
      </c>
      <c r="D31" s="4">
        <f>[26]A!$I$7</f>
        <v>8036</v>
      </c>
      <c r="E31" s="1" t="s">
        <v>60</v>
      </c>
    </row>
    <row r="32" spans="1:5">
      <c r="A32" s="1">
        <f t="shared" si="0"/>
        <v>27</v>
      </c>
      <c r="B32" s="1" t="s">
        <v>87</v>
      </c>
      <c r="C32" s="1">
        <f>[27]A!$I$32</f>
        <v>22587000000</v>
      </c>
      <c r="D32" s="4">
        <f>[27]A!$I$7</f>
        <v>8036</v>
      </c>
      <c r="E32" s="1"/>
    </row>
    <row r="33" spans="1:5">
      <c r="A33" s="1">
        <f t="shared" si="0"/>
        <v>28</v>
      </c>
      <c r="B33" s="1" t="s">
        <v>11</v>
      </c>
      <c r="C33" s="1">
        <f>[28]A!$I$32</f>
        <v>22058900000</v>
      </c>
      <c r="D33" s="4">
        <f>[28]A!$I$7</f>
        <v>8126</v>
      </c>
      <c r="E33" s="1" t="s">
        <v>60</v>
      </c>
    </row>
    <row r="34" spans="1:5">
      <c r="A34" s="1">
        <f t="shared" si="0"/>
        <v>29</v>
      </c>
      <c r="B34" s="1" t="s">
        <v>111</v>
      </c>
      <c r="C34" s="5">
        <f>E34/1.24</f>
        <v>21184274193.548386</v>
      </c>
      <c r="D34" s="4">
        <f>[29]A!$I$7</f>
        <v>8036</v>
      </c>
      <c r="E34" s="1">
        <f>[29]A!$I$32</f>
        <v>26268500000</v>
      </c>
    </row>
    <row r="35" spans="1:5">
      <c r="A35" s="1">
        <f t="shared" si="0"/>
        <v>30</v>
      </c>
      <c r="B35" s="1" t="s">
        <v>82</v>
      </c>
      <c r="C35" s="1">
        <f>[31]A!$I$32</f>
        <v>17290700000</v>
      </c>
      <c r="D35" s="4">
        <f>[31]A!$I$7</f>
        <v>8217</v>
      </c>
      <c r="E35" s="1" t="s">
        <v>60</v>
      </c>
    </row>
    <row r="36" spans="1:5">
      <c r="A36" s="1">
        <f t="shared" si="0"/>
        <v>31</v>
      </c>
      <c r="B36" s="1" t="s">
        <v>10</v>
      </c>
      <c r="C36" s="1">
        <f>[32]A!$I$32</f>
        <v>15065000000</v>
      </c>
      <c r="D36" s="4">
        <f>[32]A!$I$7</f>
        <v>8036</v>
      </c>
      <c r="E36" s="1" t="s">
        <v>60</v>
      </c>
    </row>
    <row r="37" spans="1:5">
      <c r="A37" s="1">
        <f t="shared" si="0"/>
        <v>32</v>
      </c>
      <c r="B37" s="1" t="s">
        <v>105</v>
      </c>
      <c r="C37" s="1">
        <f>[33]A!$I$32</f>
        <v>13505600000</v>
      </c>
      <c r="D37" s="4">
        <f>[33]A!$I$7</f>
        <v>7944</v>
      </c>
      <c r="E37" s="1"/>
    </row>
    <row r="38" spans="1:5">
      <c r="A38" s="1">
        <f t="shared" si="0"/>
        <v>33</v>
      </c>
      <c r="B38" s="1" t="s">
        <v>17</v>
      </c>
      <c r="C38" s="1">
        <f>[34]A!$I$32</f>
        <v>13125173000</v>
      </c>
      <c r="D38" s="4">
        <f>[34]A!$I$7</f>
        <v>8036</v>
      </c>
      <c r="E38" s="1" t="s">
        <v>60</v>
      </c>
    </row>
    <row r="39" spans="1:5">
      <c r="A39" s="1">
        <f t="shared" si="0"/>
        <v>34</v>
      </c>
      <c r="B39" s="1" t="s">
        <v>101</v>
      </c>
      <c r="C39" s="1">
        <f>[35]A!$I$32</f>
        <v>12688000000</v>
      </c>
      <c r="D39" s="4">
        <f>[35]A!$I$7</f>
        <v>8036</v>
      </c>
      <c r="E39" s="1" t="s">
        <v>60</v>
      </c>
    </row>
    <row r="40" spans="1:5">
      <c r="A40" s="1">
        <f t="shared" si="0"/>
        <v>35</v>
      </c>
      <c r="B40" s="1" t="s">
        <v>119</v>
      </c>
      <c r="C40" s="1">
        <f>[36]A!$I$32</f>
        <v>11905404000</v>
      </c>
      <c r="D40" s="4">
        <f>[36]A!$I$7</f>
        <v>8126</v>
      </c>
      <c r="E40" s="1"/>
    </row>
    <row r="41" spans="1:5">
      <c r="A41" s="1">
        <f t="shared" si="0"/>
        <v>36</v>
      </c>
      <c r="B41" s="1" t="s">
        <v>169</v>
      </c>
      <c r="C41" s="5">
        <f>E41/1.66</f>
        <v>11517686746.987953</v>
      </c>
      <c r="D41" s="4">
        <f>[30]A!$I$7</f>
        <v>7975</v>
      </c>
      <c r="E41" s="1">
        <f>[30]A!$I$32</f>
        <v>19119360000</v>
      </c>
    </row>
    <row r="42" spans="1:5">
      <c r="A42" s="1">
        <f t="shared" si="0"/>
        <v>37</v>
      </c>
      <c r="B42" s="1" t="s">
        <v>18</v>
      </c>
      <c r="C42" s="1">
        <f>[37]A!$I$32</f>
        <v>11508300000</v>
      </c>
      <c r="D42" s="4">
        <f>[37]A!$I$7</f>
        <v>8248</v>
      </c>
      <c r="E42" s="1" t="s">
        <v>60</v>
      </c>
    </row>
    <row r="43" spans="1:5">
      <c r="A43" s="1">
        <f t="shared" si="0"/>
        <v>38</v>
      </c>
      <c r="B43" s="1" t="s">
        <v>75</v>
      </c>
      <c r="C43" s="1">
        <f>[38]A!$I$32</f>
        <v>11227068000</v>
      </c>
      <c r="D43" s="4">
        <f>[38]A!$I$7</f>
        <v>8036</v>
      </c>
      <c r="E43" s="1" t="s">
        <v>60</v>
      </c>
    </row>
    <row r="44" spans="1:5">
      <c r="A44" s="1">
        <f t="shared" si="0"/>
        <v>39</v>
      </c>
      <c r="B44" s="1" t="s">
        <v>95</v>
      </c>
      <c r="C44" s="1">
        <f>[39]A!$I$32</f>
        <v>11023100000</v>
      </c>
      <c r="D44" s="4">
        <f>[39]A!$I$7</f>
        <v>8036</v>
      </c>
      <c r="E44" s="1" t="s">
        <v>60</v>
      </c>
    </row>
    <row r="45" spans="1:5">
      <c r="A45" s="1">
        <f t="shared" si="0"/>
        <v>40</v>
      </c>
      <c r="B45" s="1" t="s">
        <v>109</v>
      </c>
      <c r="C45" s="1">
        <f>[40]A!$I$32</f>
        <v>10571900000</v>
      </c>
      <c r="D45" s="4">
        <f>[40]A!$I$7</f>
        <v>8036</v>
      </c>
      <c r="E45" s="1"/>
    </row>
    <row r="46" spans="1:5">
      <c r="A46" s="1">
        <f t="shared" si="0"/>
        <v>41</v>
      </c>
      <c r="B46" s="1" t="s">
        <v>80</v>
      </c>
      <c r="C46" s="1">
        <f>[41]A!$I$32</f>
        <v>9634800000</v>
      </c>
      <c r="D46" s="4">
        <f>[41]A!$I$7</f>
        <v>8095</v>
      </c>
      <c r="E46" s="1" t="s">
        <v>60</v>
      </c>
    </row>
    <row r="47" spans="1:5">
      <c r="A47" s="1">
        <f t="shared" si="0"/>
        <v>42</v>
      </c>
      <c r="B47" s="1" t="s">
        <v>20</v>
      </c>
      <c r="C47" s="5">
        <f>E47/1.24</f>
        <v>8529348387.0967741</v>
      </c>
      <c r="D47" s="4">
        <f>[42]A!$I$7</f>
        <v>8036</v>
      </c>
      <c r="E47" s="1">
        <f>[42]A!$I$32</f>
        <v>10576392000</v>
      </c>
    </row>
    <row r="48" spans="1:5">
      <c r="A48" s="1">
        <f t="shared" si="0"/>
        <v>43</v>
      </c>
      <c r="B48" s="1" t="s">
        <v>30</v>
      </c>
      <c r="C48" s="1">
        <f>[43]A!$I$32</f>
        <v>7274665000</v>
      </c>
      <c r="D48" s="4">
        <f>[43]A!$I$7</f>
        <v>8126</v>
      </c>
      <c r="E48" s="1" t="s">
        <v>60</v>
      </c>
    </row>
    <row r="49" spans="1:5">
      <c r="A49" s="1">
        <f t="shared" si="0"/>
        <v>44</v>
      </c>
      <c r="B49" s="5" t="s">
        <v>145</v>
      </c>
      <c r="C49" s="1">
        <f>[44]A!$I$32</f>
        <v>7194284000</v>
      </c>
      <c r="D49" s="4">
        <f>[44]A!$I$7</f>
        <v>8036</v>
      </c>
    </row>
    <row r="50" spans="1:5">
      <c r="A50" s="1">
        <f t="shared" si="0"/>
        <v>45</v>
      </c>
      <c r="B50" s="1" t="s">
        <v>103</v>
      </c>
      <c r="C50" s="5">
        <f>E50/1.24</f>
        <v>7191908064.5161295</v>
      </c>
      <c r="D50" s="4">
        <f>[45]A!$I$7</f>
        <v>8036</v>
      </c>
      <c r="E50" s="1">
        <f>[45]A!$I$32</f>
        <v>8917966000</v>
      </c>
    </row>
    <row r="51" spans="1:5">
      <c r="A51" s="1">
        <f t="shared" si="0"/>
        <v>46</v>
      </c>
      <c r="B51" s="1" t="s">
        <v>143</v>
      </c>
      <c r="C51" s="1">
        <f>[46]A!$I$32</f>
        <v>6589000000</v>
      </c>
      <c r="D51" s="4">
        <f>[46]A!$I$7</f>
        <v>8036</v>
      </c>
      <c r="E51" s="1" t="s">
        <v>60</v>
      </c>
    </row>
    <row r="52" spans="1:5">
      <c r="A52" s="1">
        <f t="shared" si="0"/>
        <v>47</v>
      </c>
      <c r="B52" s="1" t="s">
        <v>25</v>
      </c>
      <c r="C52" s="1">
        <f>[47]A!$I$32</f>
        <v>6436000000</v>
      </c>
      <c r="D52" s="4">
        <f>[47]A!$I$7</f>
        <v>8095</v>
      </c>
      <c r="E52" s="1" t="s">
        <v>60</v>
      </c>
    </row>
    <row r="53" spans="1:5">
      <c r="A53" s="1">
        <f t="shared" si="0"/>
        <v>48</v>
      </c>
      <c r="B53" s="1" t="s">
        <v>120</v>
      </c>
      <c r="C53" s="1">
        <f>[48]A!$I$32</f>
        <v>5218429000</v>
      </c>
      <c r="D53" s="4">
        <f>[48]A!$I$7</f>
        <v>8095</v>
      </c>
      <c r="E53" s="1"/>
    </row>
    <row r="54" spans="1:5">
      <c r="A54" s="1">
        <f t="shared" si="0"/>
        <v>49</v>
      </c>
      <c r="B54" s="1" t="s">
        <v>19</v>
      </c>
      <c r="C54" s="1">
        <f>[49]A!$I$32</f>
        <v>5167480000</v>
      </c>
      <c r="D54" s="4">
        <f>[49]A!$I$7</f>
        <v>8036</v>
      </c>
      <c r="E54" s="1" t="s">
        <v>60</v>
      </c>
    </row>
    <row r="55" spans="1:5">
      <c r="A55" s="1">
        <f t="shared" si="0"/>
        <v>50</v>
      </c>
      <c r="B55" s="1" t="s">
        <v>28</v>
      </c>
      <c r="C55" s="1">
        <f>[50]A!$I$32</f>
        <v>5166317000</v>
      </c>
      <c r="D55" s="4">
        <f>[50]A!$I$7</f>
        <v>8036</v>
      </c>
      <c r="E55" s="1" t="s">
        <v>60</v>
      </c>
    </row>
    <row r="56" spans="1:5">
      <c r="A56" s="1">
        <f t="shared" si="0"/>
        <v>51</v>
      </c>
      <c r="B56" s="1" t="s">
        <v>31</v>
      </c>
      <c r="C56" s="1">
        <f>[51]A!$I$32</f>
        <v>5058680000</v>
      </c>
      <c r="D56" s="4">
        <f>[51]A!$I$7</f>
        <v>8036</v>
      </c>
      <c r="E56" s="1" t="s">
        <v>60</v>
      </c>
    </row>
    <row r="57" spans="1:5">
      <c r="A57" s="1">
        <f t="shared" si="0"/>
        <v>52</v>
      </c>
      <c r="B57" s="5" t="s">
        <v>138</v>
      </c>
      <c r="C57" s="1">
        <f>[52]A!$I$32</f>
        <v>4995682000</v>
      </c>
      <c r="D57" s="4">
        <f>[52]A!$I$7</f>
        <v>8036</v>
      </c>
    </row>
    <row r="58" spans="1:5">
      <c r="A58" s="1">
        <f t="shared" si="0"/>
        <v>53</v>
      </c>
      <c r="B58" s="1" t="s">
        <v>96</v>
      </c>
      <c r="C58" s="5">
        <f>E58/1.24</f>
        <v>4737042741.9354839</v>
      </c>
      <c r="D58" s="4">
        <f>[53]A!$I$7</f>
        <v>8126</v>
      </c>
      <c r="E58" s="1">
        <f>[53]A!$I$32</f>
        <v>5873933000</v>
      </c>
    </row>
    <row r="59" spans="1:5">
      <c r="A59" s="1">
        <f t="shared" si="0"/>
        <v>54</v>
      </c>
      <c r="B59" s="1" t="s">
        <v>114</v>
      </c>
      <c r="C59" s="1">
        <f>[54]A!$I$32</f>
        <v>4592887000</v>
      </c>
      <c r="D59" s="4">
        <f>[54]A!$I$7</f>
        <v>8126</v>
      </c>
      <c r="E59" s="1"/>
    </row>
    <row r="60" spans="1:5">
      <c r="A60" s="1">
        <f t="shared" si="0"/>
        <v>55</v>
      </c>
      <c r="B60" s="1" t="s">
        <v>23</v>
      </c>
      <c r="C60" s="1">
        <f>[55]A!$I$32</f>
        <v>4205581000</v>
      </c>
      <c r="D60" s="4">
        <f>[55]A!$I$7</f>
        <v>8036</v>
      </c>
      <c r="E60" s="1" t="s">
        <v>60</v>
      </c>
    </row>
    <row r="61" spans="1:5">
      <c r="A61" s="1">
        <f t="shared" si="0"/>
        <v>56</v>
      </c>
      <c r="B61" s="1" t="s">
        <v>41</v>
      </c>
      <c r="C61" s="1">
        <f>[56]A!$I$32</f>
        <v>3579171000</v>
      </c>
      <c r="D61" s="4">
        <f>[56]A!$I$7</f>
        <v>8036</v>
      </c>
      <c r="E61" s="1" t="s">
        <v>60</v>
      </c>
    </row>
    <row r="62" spans="1:5">
      <c r="A62" s="1">
        <f t="shared" si="0"/>
        <v>57</v>
      </c>
      <c r="B62" s="1" t="s">
        <v>134</v>
      </c>
      <c r="C62" s="1">
        <f>[57]A!$I$32</f>
        <v>3570311000</v>
      </c>
      <c r="D62" s="4">
        <f>[57]A!$I$7</f>
        <v>8036</v>
      </c>
      <c r="E62" s="1"/>
    </row>
    <row r="63" spans="1:5">
      <c r="A63" s="1">
        <f t="shared" si="0"/>
        <v>58</v>
      </c>
      <c r="B63" s="1" t="s">
        <v>142</v>
      </c>
      <c r="C63" s="1">
        <f>[58]A!$I$32</f>
        <v>3518034000</v>
      </c>
      <c r="D63" s="4">
        <f>[58]A!$I$7</f>
        <v>8036</v>
      </c>
      <c r="E63" s="1"/>
    </row>
    <row r="64" spans="1:5">
      <c r="A64" s="1">
        <f t="shared" si="0"/>
        <v>59</v>
      </c>
      <c r="B64" s="1" t="s">
        <v>43</v>
      </c>
      <c r="C64" s="1">
        <f>[59]A!$I$32</f>
        <v>3373371000</v>
      </c>
      <c r="D64" s="4">
        <f>[59]A!$I$7</f>
        <v>8036</v>
      </c>
      <c r="E64" s="1" t="s">
        <v>60</v>
      </c>
    </row>
    <row r="65" spans="1:5">
      <c r="A65" s="1">
        <f t="shared" si="0"/>
        <v>60</v>
      </c>
      <c r="B65" s="1" t="s">
        <v>22</v>
      </c>
      <c r="C65" s="5">
        <f>E65/1.24</f>
        <v>2919787096.7741938</v>
      </c>
      <c r="D65" s="4">
        <f>[60]A!$I$7</f>
        <v>8036</v>
      </c>
      <c r="E65" s="1">
        <f>[60]A!$I$32</f>
        <v>3620536000</v>
      </c>
    </row>
    <row r="66" spans="1:5">
      <c r="A66" s="1">
        <f t="shared" si="0"/>
        <v>61</v>
      </c>
      <c r="B66" s="1" t="s">
        <v>54</v>
      </c>
      <c r="C66" s="1">
        <f>[61]A!$I$32</f>
        <v>2885900000</v>
      </c>
      <c r="D66" s="4">
        <f>[61]A!$I$7</f>
        <v>8036</v>
      </c>
      <c r="E66" s="1" t="s">
        <v>60</v>
      </c>
    </row>
    <row r="67" spans="1:5">
      <c r="A67" s="1">
        <f t="shared" si="0"/>
        <v>62</v>
      </c>
      <c r="B67" s="1" t="s">
        <v>37</v>
      </c>
      <c r="C67" s="1">
        <f>[62]A!$I$32</f>
        <v>2843239000</v>
      </c>
      <c r="D67" s="4">
        <f>[62]A!$I$7</f>
        <v>8036</v>
      </c>
      <c r="E67" s="1" t="s">
        <v>60</v>
      </c>
    </row>
    <row r="68" spans="1:5">
      <c r="A68" s="1">
        <f t="shared" si="0"/>
        <v>63</v>
      </c>
      <c r="B68" s="1" t="s">
        <v>26</v>
      </c>
      <c r="C68" s="1">
        <f>[63]A!$I$32</f>
        <v>2805879000</v>
      </c>
      <c r="D68" s="4">
        <f>[63]A!$I$7</f>
        <v>8036</v>
      </c>
      <c r="E68" s="1" t="s">
        <v>60</v>
      </c>
    </row>
    <row r="69" spans="1:5">
      <c r="A69" s="1">
        <f t="shared" si="0"/>
        <v>64</v>
      </c>
      <c r="B69" s="1" t="s">
        <v>89</v>
      </c>
      <c r="C69" s="1">
        <f>[64]A!$I$32</f>
        <v>2782543000</v>
      </c>
      <c r="D69" s="4">
        <f>[64]A!$I$7</f>
        <v>8036</v>
      </c>
      <c r="E69" s="1" t="s">
        <v>60</v>
      </c>
    </row>
    <row r="70" spans="1:5">
      <c r="A70" s="1">
        <f t="shared" si="0"/>
        <v>65</v>
      </c>
      <c r="B70" s="5" t="s">
        <v>122</v>
      </c>
      <c r="C70" s="1">
        <f>[65]A!$I$32</f>
        <v>2772608000</v>
      </c>
      <c r="D70" s="4">
        <f>[65]A!$I$7</f>
        <v>8036</v>
      </c>
    </row>
    <row r="71" spans="1:5">
      <c r="A71" s="1">
        <f t="shared" si="0"/>
        <v>66</v>
      </c>
      <c r="B71" s="1" t="s">
        <v>29</v>
      </c>
      <c r="C71" s="1">
        <f>[66]A!$I$32</f>
        <v>2749041000</v>
      </c>
      <c r="D71" s="4">
        <f>[66]A!$I$7</f>
        <v>8036</v>
      </c>
      <c r="E71" s="1" t="s">
        <v>60</v>
      </c>
    </row>
    <row r="72" spans="1:5">
      <c r="A72" s="1">
        <f t="shared" ref="A72:A135" si="1">1+A71</f>
        <v>67</v>
      </c>
      <c r="B72" s="1" t="s">
        <v>27</v>
      </c>
      <c r="C72" s="5">
        <f>E72/1.24</f>
        <v>2677699193.5483871</v>
      </c>
      <c r="D72" s="4">
        <f>[67]A!$I$7</f>
        <v>8036</v>
      </c>
      <c r="E72" s="1">
        <f>[67]A!$I$32</f>
        <v>3320347000</v>
      </c>
    </row>
    <row r="73" spans="1:5">
      <c r="A73" s="1">
        <f t="shared" si="1"/>
        <v>68</v>
      </c>
      <c r="B73" s="1" t="s">
        <v>40</v>
      </c>
      <c r="C73" s="1">
        <f>[68]A!$I$32</f>
        <v>2594344445</v>
      </c>
      <c r="D73" s="4">
        <f>[68]A!$I$7</f>
        <v>8036</v>
      </c>
      <c r="E73" s="1" t="s">
        <v>60</v>
      </c>
    </row>
    <row r="74" spans="1:5">
      <c r="A74" s="1">
        <f t="shared" si="1"/>
        <v>69</v>
      </c>
      <c r="B74" s="1" t="s">
        <v>151</v>
      </c>
      <c r="C74" s="5">
        <f>E74/1.24</f>
        <v>2487704466.9354839</v>
      </c>
      <c r="D74" s="4">
        <f>[69]A!$I$7</f>
        <v>8036</v>
      </c>
      <c r="E74" s="1">
        <f>[69]A!$I$32</f>
        <v>3084753539</v>
      </c>
    </row>
    <row r="75" spans="1:5">
      <c r="A75" s="1">
        <f t="shared" si="1"/>
        <v>70</v>
      </c>
      <c r="B75" s="1" t="s">
        <v>129</v>
      </c>
      <c r="C75" s="1">
        <f>[70]A!$I$32</f>
        <v>2448463000</v>
      </c>
      <c r="D75" s="4">
        <f>[70]A!$I$7</f>
        <v>8036</v>
      </c>
      <c r="E75" s="1" t="s">
        <v>60</v>
      </c>
    </row>
    <row r="76" spans="1:5">
      <c r="A76" s="1">
        <f t="shared" si="1"/>
        <v>71</v>
      </c>
      <c r="B76" s="1" t="s">
        <v>24</v>
      </c>
      <c r="C76" s="5">
        <f>E76/1.24</f>
        <v>2418421774.1935482</v>
      </c>
      <c r="D76" s="4">
        <f>[71]A!$I$7</f>
        <v>8036</v>
      </c>
      <c r="E76" s="1">
        <f>[71]A!$I$32</f>
        <v>2998843000</v>
      </c>
    </row>
    <row r="77" spans="1:5">
      <c r="A77" s="1">
        <f t="shared" si="1"/>
        <v>72</v>
      </c>
      <c r="B77" s="1" t="s">
        <v>113</v>
      </c>
      <c r="C77" s="5">
        <f>E77/1.24</f>
        <v>2322950510.483871</v>
      </c>
      <c r="D77" s="4">
        <f>[72]A!$I$7</f>
        <v>8036</v>
      </c>
      <c r="E77" s="1">
        <f>[72]A!$I$32</f>
        <v>2880458633</v>
      </c>
    </row>
    <row r="78" spans="1:5">
      <c r="A78" s="1">
        <f t="shared" si="1"/>
        <v>73</v>
      </c>
      <c r="B78" s="1" t="s">
        <v>112</v>
      </c>
      <c r="C78" s="1">
        <f>[73]A!$I$32</f>
        <v>2258891000</v>
      </c>
      <c r="D78" s="4">
        <f>[73]A!$I$7</f>
        <v>8036</v>
      </c>
      <c r="E78" s="1" t="s">
        <v>60</v>
      </c>
    </row>
    <row r="79" spans="1:5">
      <c r="A79" s="1">
        <f t="shared" si="1"/>
        <v>74</v>
      </c>
      <c r="B79" s="1" t="s">
        <v>53</v>
      </c>
      <c r="C79" s="1">
        <f>[74]A!$I$32</f>
        <v>2254178000</v>
      </c>
      <c r="D79" s="4">
        <f>[74]A!$I$7</f>
        <v>8036</v>
      </c>
      <c r="E79" s="1" t="s">
        <v>60</v>
      </c>
    </row>
    <row r="80" spans="1:5">
      <c r="A80" s="1">
        <f t="shared" si="1"/>
        <v>75</v>
      </c>
      <c r="B80" s="1" t="s">
        <v>110</v>
      </c>
      <c r="C80" s="1">
        <f>[75]A!$I$32</f>
        <v>2190531000</v>
      </c>
      <c r="D80" s="4">
        <f>[75]A!$I$7</f>
        <v>8036</v>
      </c>
      <c r="E80" s="1" t="s">
        <v>60</v>
      </c>
    </row>
    <row r="81" spans="1:5">
      <c r="A81" s="1">
        <f t="shared" si="1"/>
        <v>76</v>
      </c>
      <c r="B81" s="1" t="s">
        <v>69</v>
      </c>
      <c r="C81" s="1">
        <f>[76]A!$I$32</f>
        <v>2151180000</v>
      </c>
      <c r="D81" s="4">
        <f>[76]A!$I$7</f>
        <v>8036</v>
      </c>
      <c r="E81" s="1"/>
    </row>
    <row r="82" spans="1:5">
      <c r="A82" s="1">
        <f t="shared" si="1"/>
        <v>77</v>
      </c>
      <c r="B82" s="1" t="s">
        <v>84</v>
      </c>
      <c r="C82" s="5">
        <f>E82/1.16</f>
        <v>1951426724.1379311</v>
      </c>
      <c r="D82" s="4">
        <f>[77]A!$I$7</f>
        <v>8036</v>
      </c>
      <c r="E82" s="1">
        <f>[77]A!$I$32</f>
        <v>2263655000</v>
      </c>
    </row>
    <row r="83" spans="1:5">
      <c r="A83" s="1">
        <f t="shared" si="1"/>
        <v>78</v>
      </c>
      <c r="B83" s="5" t="s">
        <v>139</v>
      </c>
      <c r="C83" s="1">
        <f>[78]A!$I$32</f>
        <v>1834464000</v>
      </c>
      <c r="D83" s="4">
        <f>[78]A!$I$7</f>
        <v>8036</v>
      </c>
    </row>
    <row r="84" spans="1:5">
      <c r="A84" s="1">
        <f t="shared" si="1"/>
        <v>79</v>
      </c>
      <c r="B84" s="1" t="s">
        <v>64</v>
      </c>
      <c r="C84" s="5">
        <f>E84/1.24</f>
        <v>1808042741.9354839</v>
      </c>
      <c r="D84" s="4">
        <f>[79]A!$I$7</f>
        <v>8126</v>
      </c>
      <c r="E84" s="1">
        <f>[79]A!$I$32</f>
        <v>2241973000</v>
      </c>
    </row>
    <row r="85" spans="1:5">
      <c r="A85" s="1">
        <f t="shared" si="1"/>
        <v>80</v>
      </c>
      <c r="B85" s="1" t="s">
        <v>126</v>
      </c>
      <c r="C85" s="1">
        <f>[80]A!$I$32</f>
        <v>1755410000</v>
      </c>
      <c r="D85" s="4">
        <f>[80]A!$I$7</f>
        <v>7761</v>
      </c>
      <c r="E85" s="1" t="s">
        <v>60</v>
      </c>
    </row>
    <row r="86" spans="1:5">
      <c r="A86" s="1">
        <f t="shared" si="1"/>
        <v>81</v>
      </c>
      <c r="B86" s="1" t="s">
        <v>36</v>
      </c>
      <c r="C86" s="1">
        <f>[81]A!$I$32</f>
        <v>1713400000</v>
      </c>
      <c r="D86" s="4">
        <f>[81]A!$I$7</f>
        <v>7944</v>
      </c>
      <c r="E86" s="1" t="s">
        <v>60</v>
      </c>
    </row>
    <row r="87" spans="1:5">
      <c r="A87" s="1">
        <f t="shared" si="1"/>
        <v>82</v>
      </c>
      <c r="B87" s="1" t="s">
        <v>55</v>
      </c>
      <c r="C87" s="1">
        <f>[82]A!$I$32</f>
        <v>1700300000</v>
      </c>
      <c r="D87" s="4">
        <f>[82]A!$I$7</f>
        <v>8036</v>
      </c>
      <c r="E87" s="1" t="s">
        <v>60</v>
      </c>
    </row>
    <row r="88" spans="1:5">
      <c r="A88" s="1">
        <f t="shared" si="1"/>
        <v>83</v>
      </c>
      <c r="B88" s="1" t="s">
        <v>15</v>
      </c>
      <c r="C88" s="1">
        <f>[83]A!$I$32</f>
        <v>1678171000</v>
      </c>
      <c r="D88" s="4">
        <f>[83]A!$I$7</f>
        <v>8036</v>
      </c>
      <c r="E88" s="1" t="s">
        <v>60</v>
      </c>
    </row>
    <row r="89" spans="1:5">
      <c r="A89" s="1">
        <f t="shared" si="1"/>
        <v>84</v>
      </c>
      <c r="B89" s="1" t="s">
        <v>32</v>
      </c>
      <c r="C89" s="1">
        <f>[84]A!$I$32</f>
        <v>1657771000</v>
      </c>
      <c r="D89" s="4">
        <f>[84]A!$I$7</f>
        <v>8036</v>
      </c>
      <c r="E89" s="1" t="s">
        <v>60</v>
      </c>
    </row>
    <row r="90" spans="1:5">
      <c r="A90" s="1">
        <f t="shared" si="1"/>
        <v>85</v>
      </c>
      <c r="B90" s="1" t="s">
        <v>39</v>
      </c>
      <c r="C90" s="1">
        <f>[85]A!$I$32</f>
        <v>1622794000</v>
      </c>
      <c r="D90" s="4">
        <f>[85]A!$I$7</f>
        <v>8036</v>
      </c>
      <c r="E90" s="1" t="s">
        <v>60</v>
      </c>
    </row>
    <row r="91" spans="1:5">
      <c r="A91" s="1">
        <f t="shared" si="1"/>
        <v>86</v>
      </c>
      <c r="B91" s="1" t="s">
        <v>34</v>
      </c>
      <c r="C91" s="1">
        <f>[86]A!$I$32</f>
        <v>1556044000</v>
      </c>
      <c r="D91" s="4">
        <f>[86]A!$I$7</f>
        <v>8156</v>
      </c>
      <c r="E91" s="1" t="s">
        <v>60</v>
      </c>
    </row>
    <row r="92" spans="1:5">
      <c r="A92" s="1">
        <f t="shared" si="1"/>
        <v>87</v>
      </c>
      <c r="B92" s="1" t="s">
        <v>68</v>
      </c>
      <c r="C92" s="1">
        <f>[87]A!$I$32</f>
        <v>1548850000</v>
      </c>
      <c r="D92" s="4">
        <f>[87]A!$I$7</f>
        <v>8036</v>
      </c>
      <c r="E92" s="1"/>
    </row>
    <row r="93" spans="1:5">
      <c r="A93" s="1">
        <f t="shared" si="1"/>
        <v>88</v>
      </c>
      <c r="B93" s="1" t="s">
        <v>50</v>
      </c>
      <c r="C93" s="1">
        <f>[88]A!$I$32</f>
        <v>1476083000</v>
      </c>
      <c r="D93" s="4">
        <f>[88]A!$I$7</f>
        <v>8036</v>
      </c>
      <c r="E93" s="1" t="s">
        <v>60</v>
      </c>
    </row>
    <row r="94" spans="1:5">
      <c r="A94" s="1">
        <f t="shared" si="1"/>
        <v>89</v>
      </c>
      <c r="B94" s="1" t="s">
        <v>90</v>
      </c>
      <c r="C94" s="5">
        <f>E94/1.24</f>
        <v>1468239516.1290324</v>
      </c>
      <c r="D94" s="4">
        <f>[89]A!$I$7</f>
        <v>8036</v>
      </c>
      <c r="E94" s="1">
        <f>[89]A!$I$32</f>
        <v>1820617000</v>
      </c>
    </row>
    <row r="95" spans="1:5">
      <c r="A95" s="1">
        <f t="shared" si="1"/>
        <v>90</v>
      </c>
      <c r="B95" s="5" t="s">
        <v>140</v>
      </c>
      <c r="C95" s="1">
        <f>[90]A!$I$32</f>
        <v>1430971000</v>
      </c>
      <c r="D95" s="4">
        <f>[90]A!$I$7</f>
        <v>8036</v>
      </c>
    </row>
    <row r="96" spans="1:5">
      <c r="A96" s="1">
        <f t="shared" si="1"/>
        <v>91</v>
      </c>
      <c r="B96" s="1" t="s">
        <v>62</v>
      </c>
      <c r="C96" s="1">
        <f>[91]A!$I$32</f>
        <v>1311970000</v>
      </c>
      <c r="D96" s="4">
        <f>[91]A!$I$7</f>
        <v>8036</v>
      </c>
      <c r="E96" s="1" t="s">
        <v>60</v>
      </c>
    </row>
    <row r="97" spans="1:5">
      <c r="A97" s="1">
        <f t="shared" si="1"/>
        <v>92</v>
      </c>
      <c r="B97" s="1" t="s">
        <v>99</v>
      </c>
      <c r="C97" s="1">
        <f>[92]A!$I$32</f>
        <v>1274871000</v>
      </c>
      <c r="D97" s="4">
        <f>[92]A!$I$7</f>
        <v>8036</v>
      </c>
      <c r="E97" s="1"/>
    </row>
    <row r="98" spans="1:5">
      <c r="A98" s="1">
        <f t="shared" si="1"/>
        <v>93</v>
      </c>
      <c r="B98" s="1" t="s">
        <v>33</v>
      </c>
      <c r="C98" s="1">
        <f>[93]A!$I$32</f>
        <v>1212752908</v>
      </c>
      <c r="D98" s="4">
        <f>[93]A!$I$7</f>
        <v>8036</v>
      </c>
      <c r="E98" s="1" t="s">
        <v>60</v>
      </c>
    </row>
    <row r="99" spans="1:5">
      <c r="A99" s="1">
        <f t="shared" si="1"/>
        <v>94</v>
      </c>
      <c r="B99" s="1" t="s">
        <v>35</v>
      </c>
      <c r="C99" s="1">
        <f>[94]A!$I$32</f>
        <v>1152277000</v>
      </c>
      <c r="D99" s="4">
        <f>[94]A!$I$7</f>
        <v>8036</v>
      </c>
      <c r="E99" s="1" t="s">
        <v>60</v>
      </c>
    </row>
    <row r="100" spans="1:5">
      <c r="A100" s="1">
        <f t="shared" si="1"/>
        <v>95</v>
      </c>
      <c r="B100" s="1" t="s">
        <v>97</v>
      </c>
      <c r="C100" s="5">
        <f>E100/1.24</f>
        <v>1145716129.032258</v>
      </c>
      <c r="D100" s="4">
        <f>[95]A!$I$7</f>
        <v>8036</v>
      </c>
      <c r="E100" s="1">
        <f>[95]A!$I$32</f>
        <v>1420688000</v>
      </c>
    </row>
    <row r="101" spans="1:5">
      <c r="A101" s="1">
        <f t="shared" si="1"/>
        <v>96</v>
      </c>
      <c r="B101" s="1" t="s">
        <v>73</v>
      </c>
      <c r="C101" s="1">
        <f>[96]A!$I$32</f>
        <v>1026358000</v>
      </c>
      <c r="D101" s="4">
        <f>[96]A!$I$7</f>
        <v>8036</v>
      </c>
      <c r="E101" s="1"/>
    </row>
    <row r="102" spans="1:5">
      <c r="A102" s="1">
        <f t="shared" si="1"/>
        <v>97</v>
      </c>
      <c r="B102" s="1" t="s">
        <v>132</v>
      </c>
      <c r="C102" s="1">
        <f>[97]A!$I$32</f>
        <v>978200000</v>
      </c>
      <c r="D102" s="4">
        <f>[97]A!$I$7</f>
        <v>7761</v>
      </c>
    </row>
    <row r="103" spans="1:5">
      <c r="A103" s="1">
        <f t="shared" si="1"/>
        <v>98</v>
      </c>
      <c r="B103" s="5" t="s">
        <v>144</v>
      </c>
      <c r="C103" s="1">
        <f>[98]A!$I$32</f>
        <v>950207000</v>
      </c>
      <c r="D103" s="4">
        <f>[98]A!$I$7</f>
        <v>8036</v>
      </c>
    </row>
    <row r="104" spans="1:5">
      <c r="A104" s="1">
        <f t="shared" si="1"/>
        <v>99</v>
      </c>
      <c r="B104" s="1" t="s">
        <v>78</v>
      </c>
      <c r="C104" s="5">
        <f>E104/1.24</f>
        <v>908273387.09677422</v>
      </c>
      <c r="D104" s="4">
        <f>[99]A!$I$7</f>
        <v>8126</v>
      </c>
      <c r="E104" s="1">
        <f>[99]A!$I$32</f>
        <v>1126259000</v>
      </c>
    </row>
    <row r="105" spans="1:5">
      <c r="A105" s="1">
        <f t="shared" si="1"/>
        <v>100</v>
      </c>
      <c r="B105" s="1" t="s">
        <v>92</v>
      </c>
      <c r="C105" s="1">
        <f>[100]A!$I$32</f>
        <v>894731193</v>
      </c>
      <c r="D105" s="4">
        <f>[100]A!$I$7</f>
        <v>8036</v>
      </c>
      <c r="E105" s="1"/>
    </row>
    <row r="106" spans="1:5">
      <c r="A106" s="1">
        <f t="shared" si="1"/>
        <v>101</v>
      </c>
      <c r="B106" s="1" t="s">
        <v>118</v>
      </c>
      <c r="C106" s="1">
        <f>[101]A!$I$32</f>
        <v>892077000</v>
      </c>
      <c r="D106" s="4">
        <f>[101]A!$I$7</f>
        <v>8036</v>
      </c>
      <c r="E106" s="1" t="s">
        <v>60</v>
      </c>
    </row>
    <row r="107" spans="1:5">
      <c r="A107" s="1">
        <f t="shared" si="1"/>
        <v>102</v>
      </c>
      <c r="B107" s="1" t="s">
        <v>131</v>
      </c>
      <c r="C107" s="1">
        <f>[102]A!$I$32</f>
        <v>853719000</v>
      </c>
      <c r="D107" s="4">
        <f>[102]A!$I$7</f>
        <v>8036</v>
      </c>
      <c r="E107" s="1" t="s">
        <v>60</v>
      </c>
    </row>
    <row r="108" spans="1:5">
      <c r="A108" s="1">
        <f t="shared" si="1"/>
        <v>103</v>
      </c>
      <c r="B108" s="1" t="s">
        <v>117</v>
      </c>
      <c r="C108" s="1">
        <f>[103]A!$I$32</f>
        <v>851694000</v>
      </c>
      <c r="D108" s="4">
        <f>[103]A!$I$7</f>
        <v>7791</v>
      </c>
      <c r="E108" s="1"/>
    </row>
    <row r="109" spans="1:5">
      <c r="A109" s="1">
        <f t="shared" si="1"/>
        <v>104</v>
      </c>
      <c r="B109" s="1" t="s">
        <v>42</v>
      </c>
      <c r="C109" s="1">
        <f>[104]A!$I$32</f>
        <v>766627624</v>
      </c>
      <c r="D109" s="4">
        <f>[104]A!$I$7</f>
        <v>8036</v>
      </c>
      <c r="E109" s="1" t="s">
        <v>60</v>
      </c>
    </row>
    <row r="110" spans="1:5">
      <c r="A110" s="1">
        <f t="shared" si="1"/>
        <v>105</v>
      </c>
      <c r="B110" s="1" t="s">
        <v>106</v>
      </c>
      <c r="C110" s="1">
        <f>[105]A!$I$32</f>
        <v>756181000</v>
      </c>
      <c r="D110" s="4">
        <f>[105]A!$I$7</f>
        <v>8036</v>
      </c>
      <c r="E110" s="1" t="s">
        <v>60</v>
      </c>
    </row>
    <row r="111" spans="1:5">
      <c r="A111" s="1">
        <f t="shared" si="1"/>
        <v>106</v>
      </c>
      <c r="B111" s="1" t="s">
        <v>51</v>
      </c>
      <c r="C111" s="1">
        <f>[106]A!$I$32</f>
        <v>668720870</v>
      </c>
      <c r="D111" s="4">
        <f>[106]A!$I$7</f>
        <v>8036</v>
      </c>
      <c r="E111" s="1" t="s">
        <v>60</v>
      </c>
    </row>
    <row r="112" spans="1:5">
      <c r="A112" s="1">
        <f t="shared" si="1"/>
        <v>107</v>
      </c>
      <c r="B112" s="5" t="s">
        <v>147</v>
      </c>
      <c r="C112" s="1">
        <f>[107]A!$I$32</f>
        <v>659268000</v>
      </c>
      <c r="D112" s="4">
        <f>[107]A!$I$7</f>
        <v>7944</v>
      </c>
    </row>
    <row r="113" spans="1:5">
      <c r="A113" s="1">
        <f t="shared" si="1"/>
        <v>108</v>
      </c>
      <c r="B113" s="1" t="s">
        <v>71</v>
      </c>
      <c r="C113" s="1">
        <f>[108]A!$I$32</f>
        <v>616547000</v>
      </c>
      <c r="D113" s="4">
        <f>[108]A!$I$7</f>
        <v>8036</v>
      </c>
      <c r="E113" s="1" t="s">
        <v>60</v>
      </c>
    </row>
    <row r="114" spans="1:5">
      <c r="A114" s="1">
        <f t="shared" si="1"/>
        <v>109</v>
      </c>
      <c r="B114" s="1" t="s">
        <v>141</v>
      </c>
      <c r="C114" s="1">
        <f>[109]A!$I$32</f>
        <v>554142000</v>
      </c>
      <c r="D114" s="4">
        <f>[109]A!$I$7</f>
        <v>8036</v>
      </c>
      <c r="E114" s="1" t="s">
        <v>60</v>
      </c>
    </row>
    <row r="115" spans="1:5">
      <c r="A115" s="1">
        <f t="shared" si="1"/>
        <v>110</v>
      </c>
      <c r="B115" s="1" t="s">
        <v>38</v>
      </c>
      <c r="C115" s="1">
        <f>[110]A!$I$32</f>
        <v>530496000</v>
      </c>
      <c r="D115" s="4">
        <f>[110]A!$I$7</f>
        <v>8036</v>
      </c>
      <c r="E115" s="1" t="s">
        <v>60</v>
      </c>
    </row>
    <row r="116" spans="1:5">
      <c r="A116" s="1">
        <f t="shared" si="1"/>
        <v>111</v>
      </c>
      <c r="B116" s="5" t="s">
        <v>124</v>
      </c>
      <c r="C116" s="1">
        <f>[111]A!$I$32</f>
        <v>527973212</v>
      </c>
      <c r="D116" s="4">
        <f>[111]A!$I$7</f>
        <v>8036</v>
      </c>
    </row>
    <row r="117" spans="1:5">
      <c r="A117" s="1">
        <f t="shared" si="1"/>
        <v>112</v>
      </c>
      <c r="B117" s="1" t="s">
        <v>12</v>
      </c>
      <c r="C117" s="1">
        <f>[112]A!$I$32</f>
        <v>522000000</v>
      </c>
      <c r="D117" s="4">
        <f>[112]A!$I$7</f>
        <v>8036</v>
      </c>
      <c r="E117" s="1" t="s">
        <v>60</v>
      </c>
    </row>
    <row r="118" spans="1:5">
      <c r="A118" s="1">
        <f t="shared" si="1"/>
        <v>113</v>
      </c>
      <c r="B118" s="1" t="s">
        <v>158</v>
      </c>
      <c r="C118" s="1">
        <f>[113]A!$I$32</f>
        <v>496686000</v>
      </c>
      <c r="D118" s="4">
        <f>[113]A!$I$7</f>
        <v>8036</v>
      </c>
      <c r="E118" s="1"/>
    </row>
    <row r="119" spans="1:5">
      <c r="A119" s="1">
        <f t="shared" si="1"/>
        <v>114</v>
      </c>
      <c r="B119" s="6" t="s">
        <v>154</v>
      </c>
      <c r="C119" s="1">
        <f>[114]A!$I$32</f>
        <v>494757000</v>
      </c>
      <c r="D119" s="4">
        <f>[114]A!$I$7</f>
        <v>8126</v>
      </c>
    </row>
    <row r="120" spans="1:5">
      <c r="A120" s="1">
        <f t="shared" si="1"/>
        <v>115</v>
      </c>
      <c r="B120" s="1" t="s">
        <v>72</v>
      </c>
      <c r="C120" s="1">
        <f>[115]A!$I$32</f>
        <v>460979918</v>
      </c>
      <c r="D120" s="4">
        <f>[115]A!$I$7</f>
        <v>7671</v>
      </c>
      <c r="E120" s="1"/>
    </row>
    <row r="121" spans="1:5">
      <c r="A121" s="1">
        <f t="shared" si="1"/>
        <v>116</v>
      </c>
      <c r="B121" s="5" t="s">
        <v>123</v>
      </c>
      <c r="C121" s="1">
        <f>[116]A!$I$32</f>
        <v>444786000</v>
      </c>
      <c r="D121" s="4">
        <f>[116]A!$I$7</f>
        <v>7944</v>
      </c>
      <c r="E121" s="1"/>
    </row>
    <row r="122" spans="1:5">
      <c r="A122" s="1">
        <f t="shared" si="1"/>
        <v>117</v>
      </c>
      <c r="B122" s="1" t="s">
        <v>136</v>
      </c>
      <c r="C122" s="5">
        <f>E122/1.24</f>
        <v>421400806.45161289</v>
      </c>
      <c r="D122" s="4">
        <f>[117]A!$I$7</f>
        <v>8036</v>
      </c>
      <c r="E122" s="1">
        <f>[117]A!$I$32</f>
        <v>522537000</v>
      </c>
    </row>
    <row r="123" spans="1:5">
      <c r="A123" s="1">
        <f t="shared" si="1"/>
        <v>118</v>
      </c>
      <c r="B123" s="1" t="s">
        <v>52</v>
      </c>
      <c r="C123" s="1">
        <f>[118]A!$I$32</f>
        <v>410239267</v>
      </c>
      <c r="D123" s="4">
        <f>[118]A!$I$7</f>
        <v>8036</v>
      </c>
      <c r="E123" s="1" t="s">
        <v>60</v>
      </c>
    </row>
    <row r="124" spans="1:5">
      <c r="A124" s="1">
        <f t="shared" si="1"/>
        <v>119</v>
      </c>
      <c r="B124" s="1" t="s">
        <v>130</v>
      </c>
      <c r="C124" s="1">
        <f>[119]A!$I$32</f>
        <v>400038000</v>
      </c>
      <c r="D124" s="4">
        <f>[119]A!$I$7</f>
        <v>8126</v>
      </c>
    </row>
    <row r="125" spans="1:5">
      <c r="A125" s="1">
        <f t="shared" si="1"/>
        <v>120</v>
      </c>
      <c r="B125" s="5" t="s">
        <v>149</v>
      </c>
      <c r="C125" s="1">
        <f>[120]A!$I$32</f>
        <v>393075000</v>
      </c>
      <c r="D125" s="4">
        <f>[120]A!$I$7</f>
        <v>8036</v>
      </c>
    </row>
    <row r="126" spans="1:5">
      <c r="A126" s="1">
        <f t="shared" si="1"/>
        <v>121</v>
      </c>
      <c r="B126" s="1" t="s">
        <v>48</v>
      </c>
      <c r="C126" s="1">
        <f>[121]A!$I$32</f>
        <v>386490055</v>
      </c>
      <c r="D126" s="4">
        <f>[121]A!$I$7</f>
        <v>8036</v>
      </c>
      <c r="E126" s="1" t="s">
        <v>60</v>
      </c>
    </row>
    <row r="127" spans="1:5">
      <c r="A127" s="1">
        <f t="shared" si="1"/>
        <v>122</v>
      </c>
      <c r="B127" s="1" t="s">
        <v>46</v>
      </c>
      <c r="C127" s="1">
        <f>[122]A!$I$32</f>
        <v>384254000</v>
      </c>
      <c r="D127" s="4">
        <f>[122]A!$I$7</f>
        <v>8036</v>
      </c>
      <c r="E127" s="1" t="s">
        <v>60</v>
      </c>
    </row>
    <row r="128" spans="1:5">
      <c r="A128" s="1">
        <f t="shared" si="1"/>
        <v>123</v>
      </c>
      <c r="B128" s="1" t="s">
        <v>108</v>
      </c>
      <c r="C128" s="5">
        <f>E128/1.24</f>
        <v>324681451.61290324</v>
      </c>
      <c r="D128" s="4">
        <f>[123]A!$I$7</f>
        <v>8126</v>
      </c>
      <c r="E128" s="1">
        <f>[123]A!$I$32</f>
        <v>402605000</v>
      </c>
    </row>
    <row r="129" spans="1:5">
      <c r="A129" s="1">
        <f t="shared" si="1"/>
        <v>124</v>
      </c>
      <c r="B129" s="1" t="s">
        <v>115</v>
      </c>
      <c r="C129" s="5">
        <f>E129/1.24</f>
        <v>324558995.96774197</v>
      </c>
      <c r="D129" s="4">
        <f>[124]A!$I$7</f>
        <v>8036</v>
      </c>
      <c r="E129" s="1">
        <f>[124]A!$I$32</f>
        <v>402453155</v>
      </c>
    </row>
    <row r="130" spans="1:5">
      <c r="A130" s="1">
        <f t="shared" si="1"/>
        <v>125</v>
      </c>
      <c r="B130" s="1" t="s">
        <v>83</v>
      </c>
      <c r="C130" s="5">
        <f>E130/1.16</f>
        <v>313878448.2758621</v>
      </c>
      <c r="D130" s="4">
        <f>[125]A!$I$7</f>
        <v>8126</v>
      </c>
      <c r="E130" s="1">
        <f>[125]A!$I$32</f>
        <v>364099000</v>
      </c>
    </row>
    <row r="131" spans="1:5">
      <c r="A131" s="1">
        <f t="shared" si="1"/>
        <v>126</v>
      </c>
      <c r="B131" s="1" t="s">
        <v>56</v>
      </c>
      <c r="C131" s="1">
        <f>[126]A!$I$32</f>
        <v>312072000</v>
      </c>
      <c r="D131" s="4">
        <f>[126]A!$I$7</f>
        <v>8036</v>
      </c>
      <c r="E131" s="1" t="s">
        <v>60</v>
      </c>
    </row>
    <row r="132" spans="1:5">
      <c r="A132" s="1">
        <f t="shared" si="1"/>
        <v>127</v>
      </c>
      <c r="B132" s="1" t="s">
        <v>74</v>
      </c>
      <c r="C132" s="5">
        <f>E132/1.16</f>
        <v>270459482.75862068</v>
      </c>
      <c r="D132" s="4">
        <f>[127]A!$I$7</f>
        <v>8036</v>
      </c>
      <c r="E132" s="1">
        <f>[127]A!$I$32</f>
        <v>313733000</v>
      </c>
    </row>
    <row r="133" spans="1:5">
      <c r="A133" s="1">
        <f t="shared" si="1"/>
        <v>128</v>
      </c>
      <c r="B133" s="1" t="s">
        <v>65</v>
      </c>
      <c r="C133" s="5">
        <f>E133/1.24</f>
        <v>264295967.74193549</v>
      </c>
      <c r="D133" s="4">
        <f>[128]A!$I$7</f>
        <v>7944</v>
      </c>
      <c r="E133" s="1">
        <f>[128]A!$I$32</f>
        <v>327727000</v>
      </c>
    </row>
    <row r="134" spans="1:5">
      <c r="A134" s="1">
        <f t="shared" si="1"/>
        <v>129</v>
      </c>
      <c r="B134" s="1" t="s">
        <v>47</v>
      </c>
      <c r="C134" s="1">
        <f>[129]A!$I$32</f>
        <v>251247132</v>
      </c>
      <c r="D134" s="4">
        <f>[129]A!$I$7</f>
        <v>8126</v>
      </c>
      <c r="E134" s="1" t="s">
        <v>60</v>
      </c>
    </row>
    <row r="135" spans="1:5">
      <c r="A135" s="1">
        <f t="shared" si="1"/>
        <v>130</v>
      </c>
      <c r="B135" s="1" t="s">
        <v>79</v>
      </c>
      <c r="C135" s="5">
        <f>E135/1.16</f>
        <v>191293794.82758623</v>
      </c>
      <c r="D135" s="4">
        <f>[130]A!$I$7</f>
        <v>8036</v>
      </c>
      <c r="E135" s="1">
        <f>[130]A!$I$32</f>
        <v>221900802</v>
      </c>
    </row>
    <row r="136" spans="1:5">
      <c r="A136" s="1">
        <f t="shared" ref="A136:A164" si="2">1+A135</f>
        <v>131</v>
      </c>
      <c r="B136" s="1" t="s">
        <v>49</v>
      </c>
      <c r="C136" s="1">
        <f>[131]A!$I$32</f>
        <v>190149000</v>
      </c>
      <c r="D136" s="4">
        <f>[131]A!$I$7</f>
        <v>8036</v>
      </c>
      <c r="E136" s="1" t="s">
        <v>60</v>
      </c>
    </row>
    <row r="137" spans="1:5">
      <c r="A137" s="1">
        <f t="shared" si="2"/>
        <v>132</v>
      </c>
      <c r="B137" s="1" t="s">
        <v>77</v>
      </c>
      <c r="C137" s="5">
        <f>E137/1.16</f>
        <v>180937931.03448278</v>
      </c>
      <c r="D137" s="4">
        <f>[132]A!$I$7</f>
        <v>8126</v>
      </c>
      <c r="E137" s="1">
        <f>[132]A!$I$32</f>
        <v>209888000</v>
      </c>
    </row>
    <row r="138" spans="1:5">
      <c r="A138" s="1">
        <f t="shared" si="2"/>
        <v>133</v>
      </c>
      <c r="B138" s="5" t="s">
        <v>150</v>
      </c>
      <c r="C138" s="1">
        <f>[133]A!$I$32</f>
        <v>165797000</v>
      </c>
      <c r="D138" s="4">
        <f>[133]A!$I$7</f>
        <v>8036</v>
      </c>
    </row>
    <row r="139" spans="1:5">
      <c r="A139" s="1">
        <f t="shared" si="2"/>
        <v>134</v>
      </c>
      <c r="B139" s="1" t="s">
        <v>76</v>
      </c>
      <c r="C139" s="1">
        <f>[134]A!$I$32</f>
        <v>159915215</v>
      </c>
      <c r="D139" s="4">
        <f>[134]A!$I$7</f>
        <v>8036</v>
      </c>
      <c r="E139" s="1"/>
    </row>
    <row r="140" spans="1:5">
      <c r="A140" s="1">
        <f t="shared" si="2"/>
        <v>135</v>
      </c>
      <c r="B140" s="1" t="s">
        <v>45</v>
      </c>
      <c r="C140" s="5">
        <f>E140/1.24</f>
        <v>147867741.93548387</v>
      </c>
      <c r="D140" s="4">
        <f>[135]A!$I$7</f>
        <v>8036</v>
      </c>
      <c r="E140" s="1">
        <f>[135]A!$I$32</f>
        <v>183356000</v>
      </c>
    </row>
    <row r="141" spans="1:5">
      <c r="A141" s="1">
        <f t="shared" si="2"/>
        <v>136</v>
      </c>
      <c r="B141" s="1" t="s">
        <v>85</v>
      </c>
      <c r="C141" s="5">
        <f>E141/1.24</f>
        <v>137818548.38709676</v>
      </c>
      <c r="D141" s="4">
        <f>[136]A!$I$7</f>
        <v>8036</v>
      </c>
      <c r="E141" s="1">
        <f>[136]A!$I$32</f>
        <v>170895000</v>
      </c>
    </row>
    <row r="142" spans="1:5">
      <c r="A142" s="1">
        <f t="shared" si="2"/>
        <v>137</v>
      </c>
      <c r="B142" s="6" t="s">
        <v>153</v>
      </c>
      <c r="C142" s="1">
        <f>[137]A!$I$32</f>
        <v>136840000</v>
      </c>
      <c r="D142" s="4">
        <f>[137]A!$I$7</f>
        <v>8126</v>
      </c>
    </row>
    <row r="143" spans="1:5">
      <c r="A143" s="1">
        <f t="shared" si="2"/>
        <v>138</v>
      </c>
      <c r="B143" s="1" t="s">
        <v>63</v>
      </c>
      <c r="C143" s="1">
        <f>[138]A!$I$32</f>
        <v>121038862</v>
      </c>
      <c r="D143" s="4">
        <f>[138]A!$I$7</f>
        <v>8036</v>
      </c>
      <c r="E143" s="1" t="s">
        <v>60</v>
      </c>
    </row>
    <row r="144" spans="1:5">
      <c r="A144" s="1">
        <f t="shared" si="2"/>
        <v>139</v>
      </c>
      <c r="B144" s="1" t="s">
        <v>58</v>
      </c>
      <c r="C144" s="1">
        <f>[139]A!$I$32</f>
        <v>75541000</v>
      </c>
      <c r="D144" s="4">
        <f>[139]A!$I$7</f>
        <v>8036</v>
      </c>
      <c r="E144" s="1" t="s">
        <v>60</v>
      </c>
    </row>
    <row r="145" spans="1:5">
      <c r="A145" s="1">
        <f t="shared" si="2"/>
        <v>140</v>
      </c>
      <c r="B145" s="1" t="s">
        <v>160</v>
      </c>
      <c r="C145" s="1">
        <f>[140]A!$I$32</f>
        <v>71736000</v>
      </c>
      <c r="D145" s="4">
        <f>[140]A!$I$7</f>
        <v>8036</v>
      </c>
      <c r="E145" s="1"/>
    </row>
    <row r="146" spans="1:5">
      <c r="A146" s="1">
        <f t="shared" si="2"/>
        <v>141</v>
      </c>
      <c r="B146" s="1" t="s">
        <v>107</v>
      </c>
      <c r="C146" s="5">
        <f>E146/1.24</f>
        <v>68460040.32258065</v>
      </c>
      <c r="D146" s="4">
        <f>[141]A!$I$7</f>
        <v>8126</v>
      </c>
      <c r="E146" s="1">
        <f>[141]A!$I$32</f>
        <v>84890450</v>
      </c>
    </row>
    <row r="147" spans="1:5">
      <c r="A147" s="1">
        <f t="shared" si="2"/>
        <v>142</v>
      </c>
      <c r="B147" s="1" t="s">
        <v>86</v>
      </c>
      <c r="C147" s="1">
        <f>[142]A!$I$32</f>
        <v>48630000</v>
      </c>
      <c r="D147" s="4">
        <f>[142]A!$I$7</f>
        <v>8036</v>
      </c>
      <c r="E147" s="1"/>
    </row>
    <row r="148" spans="1:5">
      <c r="A148" s="1">
        <f t="shared" si="2"/>
        <v>143</v>
      </c>
      <c r="B148" s="5" t="s">
        <v>146</v>
      </c>
      <c r="C148" s="1">
        <f>[143]A!$I$32</f>
        <v>46517000</v>
      </c>
      <c r="D148" s="4">
        <f>[143]A!$I$7</f>
        <v>7761</v>
      </c>
    </row>
    <row r="149" spans="1:5">
      <c r="A149" s="1">
        <f t="shared" si="2"/>
        <v>144</v>
      </c>
      <c r="B149" s="5" t="s">
        <v>155</v>
      </c>
      <c r="C149" s="1">
        <f>[144]A!$I$32</f>
        <v>45557014</v>
      </c>
      <c r="D149" s="4">
        <f>[144]A!$I$7</f>
        <v>8036</v>
      </c>
    </row>
    <row r="150" spans="1:5">
      <c r="A150" s="1">
        <f t="shared" si="2"/>
        <v>145</v>
      </c>
      <c r="B150" s="1" t="s">
        <v>57</v>
      </c>
      <c r="C150" s="1">
        <f>[145]A!$I$32</f>
        <v>40154805</v>
      </c>
      <c r="D150" s="4">
        <f>[145]A!$I$7</f>
        <v>8036</v>
      </c>
      <c r="E150" s="1" t="s">
        <v>60</v>
      </c>
    </row>
    <row r="151" spans="1:5">
      <c r="A151" s="1">
        <f t="shared" si="2"/>
        <v>146</v>
      </c>
      <c r="B151" s="1" t="s">
        <v>44</v>
      </c>
      <c r="C151" s="1">
        <f>[146]A!$I$32</f>
        <v>26456000</v>
      </c>
      <c r="D151" s="4">
        <f>[146]A!$I$7</f>
        <v>8036</v>
      </c>
      <c r="E151" s="1" t="s">
        <v>60</v>
      </c>
    </row>
    <row r="152" spans="1:5">
      <c r="A152" s="1">
        <f t="shared" si="2"/>
        <v>147</v>
      </c>
      <c r="B152" s="1" t="s">
        <v>156</v>
      </c>
      <c r="C152" s="1">
        <f>[147]A!$I$32</f>
        <v>22777053</v>
      </c>
      <c r="D152" s="4">
        <f>[147]A!$I$7</f>
        <v>8036</v>
      </c>
      <c r="E152" s="1" t="s">
        <v>60</v>
      </c>
    </row>
    <row r="153" spans="1:5">
      <c r="A153" s="1">
        <f t="shared" si="2"/>
        <v>148</v>
      </c>
      <c r="B153" s="1" t="s">
        <v>121</v>
      </c>
      <c r="C153" s="1">
        <f>[148]A!$I$32</f>
        <v>20120000</v>
      </c>
      <c r="D153" s="4">
        <f>[148]A!$I$7</f>
        <v>7791</v>
      </c>
      <c r="E153" s="1" t="s">
        <v>60</v>
      </c>
    </row>
    <row r="154" spans="1:5">
      <c r="A154" s="1">
        <f t="shared" si="2"/>
        <v>149</v>
      </c>
      <c r="B154" s="5" t="s">
        <v>159</v>
      </c>
      <c r="C154" s="1">
        <f>[149]A!$I$32</f>
        <v>17606000</v>
      </c>
      <c r="D154" s="4">
        <f>[149]A!$I$7</f>
        <v>8036</v>
      </c>
    </row>
    <row r="155" spans="1:5">
      <c r="A155" s="1">
        <f t="shared" si="2"/>
        <v>150</v>
      </c>
      <c r="B155" s="1" t="s">
        <v>116</v>
      </c>
      <c r="C155" s="1">
        <f>[150]A!$I$32</f>
        <v>15316000</v>
      </c>
      <c r="D155" s="4">
        <f>[150]A!$I$7</f>
        <v>8036</v>
      </c>
    </row>
    <row r="156" spans="1:5">
      <c r="A156" s="1">
        <f t="shared" si="2"/>
        <v>151</v>
      </c>
      <c r="B156" s="5" t="s">
        <v>163</v>
      </c>
      <c r="C156" s="1">
        <f>[151]A!$I$32</f>
        <v>10408112</v>
      </c>
      <c r="D156" s="4">
        <f>[151]A!$I$7</f>
        <v>8036</v>
      </c>
    </row>
    <row r="157" spans="1:5">
      <c r="A157" s="1">
        <f t="shared" si="2"/>
        <v>152</v>
      </c>
      <c r="B157" s="1" t="s">
        <v>21</v>
      </c>
      <c r="C157" s="1">
        <f>[152]A!$I$32</f>
        <v>7519000</v>
      </c>
      <c r="D157" s="4">
        <f>[152]A!$I$7</f>
        <v>8036</v>
      </c>
      <c r="E157" s="1" t="s">
        <v>60</v>
      </c>
    </row>
    <row r="158" spans="1:5">
      <c r="A158" s="1">
        <f t="shared" si="2"/>
        <v>153</v>
      </c>
      <c r="B158" s="5" t="s">
        <v>161</v>
      </c>
      <c r="C158" s="1">
        <f>[153]A!$I$32</f>
        <v>100</v>
      </c>
      <c r="D158" s="4">
        <f>[153]A!$I$7</f>
        <v>7914</v>
      </c>
    </row>
    <row r="159" spans="1:5">
      <c r="A159" s="1">
        <f t="shared" si="2"/>
        <v>154</v>
      </c>
      <c r="B159" s="5" t="s">
        <v>164</v>
      </c>
      <c r="C159" s="1">
        <f>[154]A!$I$32</f>
        <v>0</v>
      </c>
      <c r="D159" s="4">
        <f>[154]A!$I$7</f>
        <v>0</v>
      </c>
    </row>
    <row r="160" spans="1:5">
      <c r="A160" s="1">
        <f t="shared" si="2"/>
        <v>155</v>
      </c>
      <c r="B160" s="5" t="s">
        <v>157</v>
      </c>
      <c r="C160" s="1">
        <f>[155]A!$I$32</f>
        <v>0</v>
      </c>
      <c r="D160" s="4">
        <f>[155]A!$I$7</f>
        <v>0</v>
      </c>
    </row>
    <row r="161" spans="1:4">
      <c r="A161" s="1">
        <f t="shared" si="2"/>
        <v>156</v>
      </c>
      <c r="B161" s="5" t="s">
        <v>165</v>
      </c>
      <c r="C161" s="1">
        <f>[156]A!$I$32</f>
        <v>0</v>
      </c>
      <c r="D161" s="4">
        <f>[156]A!$I$7</f>
        <v>0</v>
      </c>
    </row>
    <row r="162" spans="1:4">
      <c r="A162" s="1">
        <f t="shared" si="2"/>
        <v>157</v>
      </c>
      <c r="B162" s="5" t="s">
        <v>166</v>
      </c>
      <c r="C162" s="1">
        <f>[157]A!$I$32</f>
        <v>0</v>
      </c>
      <c r="D162" s="4">
        <f>[157]A!$I$7</f>
        <v>0</v>
      </c>
    </row>
    <row r="163" spans="1:4">
      <c r="A163" s="1">
        <f t="shared" si="2"/>
        <v>158</v>
      </c>
      <c r="B163" s="5" t="s">
        <v>167</v>
      </c>
      <c r="C163" s="1">
        <f>[158]A!$I$32</f>
        <v>0</v>
      </c>
      <c r="D163" s="4">
        <f>[158]A!$I$7</f>
        <v>0</v>
      </c>
    </row>
    <row r="164" spans="1:4">
      <c r="A164" s="1">
        <f t="shared" si="2"/>
        <v>159</v>
      </c>
      <c r="B164" s="5" t="s">
        <v>168</v>
      </c>
      <c r="C164" s="1">
        <f>[159]A!$I$32</f>
        <v>0</v>
      </c>
      <c r="D164" s="4">
        <f>[159]A!$I$7</f>
        <v>0</v>
      </c>
    </row>
    <row r="165" spans="1:4">
      <c r="A165" s="1"/>
      <c r="C165" s="1"/>
      <c r="D165" s="4"/>
    </row>
    <row r="166" spans="1:4" ht="15.75">
      <c r="A166" s="1"/>
      <c r="B166" s="2" t="s">
        <v>59</v>
      </c>
      <c r="C166" s="1">
        <f>SUM(C6:C164)/159</f>
        <v>40801994226.765808</v>
      </c>
    </row>
    <row r="167" spans="1:4">
      <c r="A167" s="1"/>
      <c r="B167" s="5" t="s">
        <v>162</v>
      </c>
      <c r="C167" s="5" t="s">
        <v>60</v>
      </c>
    </row>
    <row r="168" spans="1:4">
      <c r="A168" s="1"/>
    </row>
    <row r="169" spans="1:4">
      <c r="A169" s="1"/>
    </row>
    <row r="170" spans="1:4">
      <c r="A170" s="1"/>
    </row>
    <row r="171" spans="1:4">
      <c r="A171" s="1"/>
    </row>
    <row r="172" spans="1:4">
      <c r="A172" s="1"/>
    </row>
    <row r="173" spans="1:4">
      <c r="A173" s="1"/>
    </row>
    <row r="174" spans="1:4">
      <c r="A174" s="1"/>
    </row>
    <row r="175" spans="1:4">
      <c r="A175" s="1"/>
    </row>
    <row r="176" spans="1:4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</sheetData>
  <sortState ref="A6:E158">
    <sortCondition descending="1" ref="C6:C158"/>
    <sortCondition ref="B6:B158"/>
  </sortState>
  <phoneticPr fontId="0" type="noConversion"/>
  <pageMargins left="0.28999999999999998" right="0.27" top="0.19600000000000001" bottom="0.23599999999999999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01ASSET</vt:lpstr>
      <vt:lpstr>Database</vt:lpstr>
      <vt:lpstr>'01ASSET'!Print_Area</vt:lpstr>
      <vt:lpstr>'01ASSET'!Print_Area_MI</vt:lpstr>
      <vt:lpstr>SOD</vt:lpstr>
    </vt:vector>
  </TitlesOfParts>
  <Company>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</dc:creator>
  <cp:lastModifiedBy>John</cp:lastModifiedBy>
  <cp:lastPrinted>2021-12-20T17:05:54Z</cp:lastPrinted>
  <dcterms:created xsi:type="dcterms:W3CDTF">2005-08-04T15:51:11Z</dcterms:created>
  <dcterms:modified xsi:type="dcterms:W3CDTF">2022-12-16T23:40:01Z</dcterms:modified>
</cp:coreProperties>
</file>